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 defaultThemeVersion="124226"/>
  <bookViews>
    <workbookView xWindow="11250" yWindow="90" windowWidth="11415" windowHeight="9855" tabRatio="836"/>
  </bookViews>
  <sheets>
    <sheet name="anexo I" sheetId="247" r:id="rId1"/>
    <sheet name="Presupuesto" sheetId="62" state="hidden" r:id="rId2"/>
    <sheet name="RESUMEN Costos directo" sheetId="140" state="hidden" r:id="rId3"/>
    <sheet name="PROYECTOS" sheetId="4" state="hidden" r:id="rId4"/>
    <sheet name="bordillo de 15x5" sheetId="146" state="hidden" r:id="rId5"/>
    <sheet name="alcantarilla TCR 42" sheetId="126" state="hidden" r:id="rId6"/>
    <sheet name="Acarreo TCR 42" sheetId="130" state="hidden" r:id="rId7"/>
    <sheet name="Cortado de concreto" sheetId="148" state="hidden" r:id="rId8"/>
    <sheet name="siembra de vetiver" sheetId="142" state="hidden" r:id="rId9"/>
    <sheet name="Señales " sheetId="141" state="hidden" r:id="rId10"/>
    <sheet name="pintura de bordillo" sheetId="51" state="hidden" r:id="rId11"/>
    <sheet name="rotulo" sheetId="64" state="hidden" r:id="rId12"/>
    <sheet name="señal informativa" sheetId="165" state="hidden" r:id="rId13"/>
    <sheet name="DESGLOSE INSUMOS" sheetId="164" state="hidden" r:id="rId14"/>
    <sheet name="Mortero 1-3" sheetId="118" state="hidden" r:id="rId15"/>
    <sheet name="concreto de 210 kg-cm" sheetId="143" state="hidden" r:id="rId16"/>
    <sheet name="Hoja1" sheetId="149" state="hidden" r:id="rId17"/>
    <sheet name="Hoja2" sheetId="150" state="hidden" r:id="rId18"/>
    <sheet name="bordillo de 15x15 " sheetId="151" state="hidden" r:id="rId19"/>
    <sheet name="Movilizacion de Equipo" sheetId="117" state="hidden" r:id="rId20"/>
  </sheets>
  <externalReferences>
    <externalReference r:id="rId21"/>
    <externalReference r:id="rId22"/>
  </externalReferences>
  <definedNames>
    <definedName name="_xlnm.Print_Area" localSheetId="6">'Acarreo TCR 42'!$A$1:$I$66</definedName>
    <definedName name="_xlnm.Print_Area" localSheetId="5">'alcantarilla TCR 42'!$A$1:$I$66</definedName>
    <definedName name="_xlnm.Print_Area" localSheetId="0">'anexo I'!$B$1:$I$42</definedName>
    <definedName name="_xlnm.Print_Area" localSheetId="18">'bordillo de 15x15 '!$A$1:$I$66</definedName>
    <definedName name="_xlnm.Print_Area" localSheetId="4">'bordillo de 15x5'!$A$1:$I$66</definedName>
    <definedName name="_xlnm.Print_Area" localSheetId="15">'concreto de 210 kg-cm'!$A$1:$I$66</definedName>
    <definedName name="_xlnm.Print_Area" localSheetId="7">'Cortado de concreto'!$A$1:$I$68</definedName>
    <definedName name="_xlnm.Print_Area" localSheetId="13">'DESGLOSE INSUMOS'!$B$1:$L$78</definedName>
    <definedName name="_xlnm.Print_Area" localSheetId="14">'Mortero 1-3'!$A$1:$I$66</definedName>
    <definedName name="_xlnm.Print_Area" localSheetId="19">'Movilizacion de Equipo'!$A$1:$G$66</definedName>
    <definedName name="_xlnm.Print_Area" localSheetId="10">'pintura de bordillo'!$A$1:$I$68</definedName>
    <definedName name="_xlnm.Print_Area" localSheetId="1">Presupuesto!$B$1:$I$36</definedName>
    <definedName name="_xlnm.Print_Area" localSheetId="11">rotulo!$A$1:$I$72</definedName>
    <definedName name="_xlnm.Print_Area" localSheetId="12">'señal informativa'!$A$1:$I$72</definedName>
    <definedName name="_xlnm.Print_Area" localSheetId="9">'Señales '!$A$1:$I$68</definedName>
    <definedName name="_xlnm.Print_Area" localSheetId="8">'siembra de vetiver'!$A$1:$I$66</definedName>
    <definedName name="CU_EQUIPO">#REF!</definedName>
    <definedName name="CU_MANO_DE_OBRA">#REF!</definedName>
    <definedName name="CU_MATERIALES">#REF!</definedName>
    <definedName name="de">[1]Equipo!$A$6:$D$297</definedName>
    <definedName name="nuevo">#REF!</definedName>
    <definedName name="ORDENES">[2]TERRAZOS!$A$6:$I$889</definedName>
    <definedName name="PRESUPUESTOS">PROYECTOS!$A$8:$B$15</definedName>
    <definedName name="RESUMEN" localSheetId="2">'RESUMEN Costos directo'!$1:$1048576</definedName>
    <definedName name="RESUMEN">#REF!</definedName>
  </definedNames>
  <calcPr calcId="124519"/>
  <pivotCaches>
    <pivotCache cacheId="2" r:id="rId23"/>
  </pivotCaches>
  <fileRecoveryPr repairLoad="1"/>
</workbook>
</file>

<file path=xl/calcChain.xml><?xml version="1.0" encoding="utf-8"?>
<calcChain xmlns="http://schemas.openxmlformats.org/spreadsheetml/2006/main">
  <c r="E22" i="247"/>
  <c r="E21"/>
  <c r="F13"/>
  <c r="E13"/>
  <c r="E10"/>
  <c r="G13" l="1"/>
  <c r="J92" i="62" l="1"/>
  <c r="J89"/>
  <c r="J86"/>
  <c r="J87"/>
  <c r="J85"/>
  <c r="J84"/>
  <c r="J75"/>
  <c r="J76" l="1"/>
  <c r="J77"/>
  <c r="J79"/>
  <c r="J78"/>
  <c r="J83"/>
  <c r="J82"/>
  <c r="J81"/>
  <c r="J80"/>
  <c r="G33" l="1"/>
  <c r="K34" l="1"/>
  <c r="D33" l="1"/>
  <c r="C33"/>
  <c r="D31"/>
  <c r="C31"/>
  <c r="D30"/>
  <c r="C30"/>
  <c r="C29"/>
  <c r="C26"/>
  <c r="D25"/>
  <c r="C25"/>
  <c r="D24"/>
  <c r="C24"/>
  <c r="D23"/>
  <c r="C23"/>
  <c r="C22"/>
  <c r="C21"/>
  <c r="C20"/>
  <c r="D17"/>
  <c r="D16"/>
  <c r="C16"/>
  <c r="D15"/>
  <c r="C15"/>
  <c r="D14"/>
  <c r="C14"/>
  <c r="D13"/>
  <c r="C13"/>
  <c r="D12"/>
  <c r="C12"/>
  <c r="D11"/>
  <c r="C11"/>
  <c r="D22" l="1"/>
  <c r="D26"/>
  <c r="D21"/>
  <c r="D29"/>
  <c r="D20"/>
  <c r="H64" i="165"/>
  <c r="H60"/>
  <c r="H59"/>
  <c r="H52"/>
  <c r="D52"/>
  <c r="C52"/>
  <c r="H51"/>
  <c r="I51" s="1"/>
  <c r="D51"/>
  <c r="C51"/>
  <c r="H50"/>
  <c r="I50" s="1"/>
  <c r="D50"/>
  <c r="C50"/>
  <c r="H49"/>
  <c r="I49" s="1"/>
  <c r="D49"/>
  <c r="C49"/>
  <c r="H48"/>
  <c r="I48" s="1"/>
  <c r="D48"/>
  <c r="C48"/>
  <c r="H47"/>
  <c r="I47" s="1"/>
  <c r="D47"/>
  <c r="C47"/>
  <c r="H46"/>
  <c r="I46" s="1"/>
  <c r="D46"/>
  <c r="C46"/>
  <c r="H45"/>
  <c r="I45" s="1"/>
  <c r="D45"/>
  <c r="C45"/>
  <c r="H44"/>
  <c r="I44" s="1"/>
  <c r="D44"/>
  <c r="C44"/>
  <c r="H43"/>
  <c r="I43" s="1"/>
  <c r="D43"/>
  <c r="C43"/>
  <c r="H42"/>
  <c r="I42" s="1"/>
  <c r="D42"/>
  <c r="C42"/>
  <c r="I41"/>
  <c r="H39"/>
  <c r="D39"/>
  <c r="C39"/>
  <c r="H37"/>
  <c r="I37" s="1"/>
  <c r="D37"/>
  <c r="C37"/>
  <c r="H36"/>
  <c r="I36" s="1"/>
  <c r="D36"/>
  <c r="C36"/>
  <c r="H35"/>
  <c r="I35" s="1"/>
  <c r="D35"/>
  <c r="C35"/>
  <c r="H34"/>
  <c r="I34" s="1"/>
  <c r="D34"/>
  <c r="C34"/>
  <c r="H33"/>
  <c r="I33" s="1"/>
  <c r="D33"/>
  <c r="C33"/>
  <c r="H32"/>
  <c r="I32" s="1"/>
  <c r="D32"/>
  <c r="C32"/>
  <c r="H31"/>
  <c r="I31" s="1"/>
  <c r="D31"/>
  <c r="C31"/>
  <c r="H30"/>
  <c r="I30" s="1"/>
  <c r="D30"/>
  <c r="C30"/>
  <c r="H29"/>
  <c r="I29" s="1"/>
  <c r="D29"/>
  <c r="C29"/>
  <c r="I28"/>
  <c r="H26"/>
  <c r="I26" s="1"/>
  <c r="D26"/>
  <c r="C26"/>
  <c r="H25"/>
  <c r="I25" s="1"/>
  <c r="D25"/>
  <c r="C25"/>
  <c r="H24"/>
  <c r="I24" s="1"/>
  <c r="D24"/>
  <c r="C24"/>
  <c r="H23"/>
  <c r="I23" s="1"/>
  <c r="D23"/>
  <c r="C23"/>
  <c r="H22"/>
  <c r="I22" s="1"/>
  <c r="D22"/>
  <c r="C22"/>
  <c r="H21"/>
  <c r="I21" s="1"/>
  <c r="D21"/>
  <c r="C21"/>
  <c r="H20"/>
  <c r="I20" s="1"/>
  <c r="D20"/>
  <c r="C20"/>
  <c r="H19"/>
  <c r="I19" s="1"/>
  <c r="D19"/>
  <c r="C19"/>
  <c r="H18"/>
  <c r="I18" s="1"/>
  <c r="D18"/>
  <c r="C18"/>
  <c r="H17"/>
  <c r="I17" s="1"/>
  <c r="D17"/>
  <c r="C17"/>
  <c r="H16"/>
  <c r="I16" s="1"/>
  <c r="D16"/>
  <c r="C16"/>
  <c r="H15"/>
  <c r="I15" s="1"/>
  <c r="D15"/>
  <c r="C15"/>
  <c r="H14"/>
  <c r="I14" s="1"/>
  <c r="D14"/>
  <c r="C14"/>
  <c r="H13"/>
  <c r="I13" s="1"/>
  <c r="D13"/>
  <c r="C13"/>
  <c r="B4"/>
  <c r="I27" l="1"/>
  <c r="I38"/>
  <c r="E39" l="1"/>
  <c r="F61" i="164"/>
  <c r="G61" s="1"/>
  <c r="F36"/>
  <c r="G36" s="1"/>
  <c r="F62"/>
  <c r="G62" s="1"/>
  <c r="J95"/>
  <c r="L86"/>
  <c r="L85"/>
  <c r="L84"/>
  <c r="L83"/>
  <c r="F77"/>
  <c r="G77" s="1"/>
  <c r="F63"/>
  <c r="G63" s="1"/>
  <c r="K20"/>
  <c r="E52" i="165" l="1"/>
  <c r="I52" s="1"/>
  <c r="I53" s="1"/>
  <c r="I39"/>
  <c r="I40" s="1"/>
  <c r="L87" i="164"/>
  <c r="I55" i="165" l="1"/>
  <c r="I60" l="1"/>
  <c r="I59"/>
  <c r="I61" l="1"/>
  <c r="I64" s="1"/>
  <c r="I65" s="1"/>
  <c r="I67" l="1"/>
  <c r="I70" s="1"/>
  <c r="F31" i="62" l="1"/>
  <c r="G31" s="1"/>
  <c r="H31" l="1"/>
  <c r="I31" s="1"/>
  <c r="F21" l="1"/>
  <c r="G21" s="1"/>
  <c r="F24"/>
  <c r="G24" s="1"/>
  <c r="F22"/>
  <c r="G22" s="1"/>
  <c r="F23" l="1"/>
  <c r="G23" s="1"/>
  <c r="F26"/>
  <c r="G26" s="1"/>
  <c r="F29"/>
  <c r="G29" s="1"/>
  <c r="F30"/>
  <c r="G30" s="1"/>
  <c r="F14" i="247" l="1"/>
  <c r="G14" s="1"/>
  <c r="H30" i="62"/>
  <c r="I30" s="1"/>
  <c r="H20"/>
  <c r="I20" s="1"/>
  <c r="G32"/>
  <c r="F20"/>
  <c r="G20" s="1"/>
  <c r="H23"/>
  <c r="I23" s="1"/>
  <c r="F17"/>
  <c r="G17" s="1"/>
  <c r="H21" l="1"/>
  <c r="I21" s="1"/>
  <c r="H26"/>
  <c r="I26" s="1"/>
  <c r="H22"/>
  <c r="I22" s="1"/>
  <c r="H24"/>
  <c r="I24" s="1"/>
  <c r="H29" l="1"/>
  <c r="I29" s="1"/>
  <c r="H32" s="1"/>
  <c r="H17"/>
  <c r="I17" s="1"/>
  <c r="H24" i="64" l="1"/>
  <c r="I24" s="1"/>
  <c r="D24"/>
  <c r="C24"/>
  <c r="H23"/>
  <c r="I23" s="1"/>
  <c r="D23"/>
  <c r="C23"/>
  <c r="H22"/>
  <c r="I22" s="1"/>
  <c r="D22"/>
  <c r="C22"/>
  <c r="H21"/>
  <c r="I21" s="1"/>
  <c r="D21"/>
  <c r="C21"/>
  <c r="H20"/>
  <c r="I20" s="1"/>
  <c r="D20"/>
  <c r="C20"/>
  <c r="O18" i="151" l="1"/>
  <c r="O17"/>
  <c r="D66" i="62"/>
  <c r="D64"/>
  <c r="D63"/>
  <c r="D62"/>
  <c r="D61"/>
  <c r="D43"/>
  <c r="E15" i="140"/>
  <c r="B14"/>
  <c r="K13" i="146"/>
  <c r="H58" i="151"/>
  <c r="H54"/>
  <c r="H53"/>
  <c r="H46"/>
  <c r="D46"/>
  <c r="C46"/>
  <c r="H45"/>
  <c r="I45" s="1"/>
  <c r="D45"/>
  <c r="C45"/>
  <c r="H44"/>
  <c r="I44" s="1"/>
  <c r="D44"/>
  <c r="C44"/>
  <c r="H43"/>
  <c r="I43" s="1"/>
  <c r="D43"/>
  <c r="C43"/>
  <c r="H42"/>
  <c r="I42" s="1"/>
  <c r="D42"/>
  <c r="C42"/>
  <c r="H41"/>
  <c r="I41" s="1"/>
  <c r="D41"/>
  <c r="C41"/>
  <c r="H40"/>
  <c r="I40" s="1"/>
  <c r="D40"/>
  <c r="C40"/>
  <c r="H39"/>
  <c r="I39" s="1"/>
  <c r="D39"/>
  <c r="C39"/>
  <c r="H38"/>
  <c r="I38" s="1"/>
  <c r="D38"/>
  <c r="C38"/>
  <c r="H37"/>
  <c r="I37" s="1"/>
  <c r="D37"/>
  <c r="H36"/>
  <c r="I36" s="1"/>
  <c r="D36"/>
  <c r="H33"/>
  <c r="D33"/>
  <c r="C33"/>
  <c r="H31"/>
  <c r="I31" s="1"/>
  <c r="D31"/>
  <c r="C31"/>
  <c r="H30"/>
  <c r="I30" s="1"/>
  <c r="D30"/>
  <c r="C30"/>
  <c r="H29"/>
  <c r="I29" s="1"/>
  <c r="D29"/>
  <c r="C29"/>
  <c r="H28"/>
  <c r="I28" s="1"/>
  <c r="D28"/>
  <c r="C28"/>
  <c r="H27"/>
  <c r="I27" s="1"/>
  <c r="D27"/>
  <c r="C27"/>
  <c r="H26"/>
  <c r="I26" s="1"/>
  <c r="D26"/>
  <c r="C26"/>
  <c r="H25"/>
  <c r="I25" s="1"/>
  <c r="D25"/>
  <c r="C25"/>
  <c r="H24"/>
  <c r="I24" s="1"/>
  <c r="D24"/>
  <c r="C24"/>
  <c r="H23"/>
  <c r="I23" s="1"/>
  <c r="D23"/>
  <c r="C23"/>
  <c r="H20"/>
  <c r="I20" s="1"/>
  <c r="D20"/>
  <c r="C20"/>
  <c r="H19"/>
  <c r="I19" s="1"/>
  <c r="D19"/>
  <c r="C19"/>
  <c r="H18"/>
  <c r="I18" s="1"/>
  <c r="D18"/>
  <c r="C18"/>
  <c r="H17"/>
  <c r="I17" s="1"/>
  <c r="D17"/>
  <c r="C17"/>
  <c r="H16"/>
  <c r="I16" s="1"/>
  <c r="D16"/>
  <c r="C16"/>
  <c r="H15"/>
  <c r="I15" s="1"/>
  <c r="D15"/>
  <c r="C15"/>
  <c r="H14"/>
  <c r="I14" s="1"/>
  <c r="D14"/>
  <c r="C14"/>
  <c r="K13"/>
  <c r="L13" s="1"/>
  <c r="H13"/>
  <c r="I13" s="1"/>
  <c r="D13"/>
  <c r="C13"/>
  <c r="C5"/>
  <c r="B4"/>
  <c r="L16" i="143"/>
  <c r="N16" s="1"/>
  <c r="O16" s="1"/>
  <c r="J16"/>
  <c r="G3" i="150"/>
  <c r="G13"/>
  <c r="H7"/>
  <c r="H9"/>
  <c r="H4"/>
  <c r="H3"/>
  <c r="I21" i="151" l="1"/>
  <c r="I32"/>
  <c r="C20" i="149"/>
  <c r="C19"/>
  <c r="C18"/>
  <c r="C17"/>
  <c r="C16"/>
  <c r="C15"/>
  <c r="C14"/>
  <c r="C13"/>
  <c r="C12"/>
  <c r="C11"/>
  <c r="C10"/>
  <c r="C9"/>
  <c r="C8"/>
  <c r="C7"/>
  <c r="C6"/>
  <c r="C5"/>
  <c r="C4"/>
  <c r="C3"/>
  <c r="C2"/>
  <c r="E20"/>
  <c r="E19"/>
  <c r="E18"/>
  <c r="E17"/>
  <c r="E16"/>
  <c r="E15"/>
  <c r="E14"/>
  <c r="B20"/>
  <c r="B19"/>
  <c r="B18"/>
  <c r="D18" s="1"/>
  <c r="B17"/>
  <c r="B16"/>
  <c r="B15"/>
  <c r="B14"/>
  <c r="D14" s="1"/>
  <c r="E13"/>
  <c r="E12"/>
  <c r="E11"/>
  <c r="E10"/>
  <c r="E9"/>
  <c r="E8"/>
  <c r="B13"/>
  <c r="D13" s="1"/>
  <c r="B12"/>
  <c r="B11"/>
  <c r="D11" s="1"/>
  <c r="B10"/>
  <c r="D10" s="1"/>
  <c r="B9"/>
  <c r="D9" s="1"/>
  <c r="B8"/>
  <c r="D8" s="1"/>
  <c r="E7"/>
  <c r="E6"/>
  <c r="E5"/>
  <c r="E4"/>
  <c r="E3"/>
  <c r="E2"/>
  <c r="H5" i="150"/>
  <c r="D17" i="149" l="1"/>
  <c r="D20"/>
  <c r="D12"/>
  <c r="D19"/>
  <c r="D15"/>
  <c r="D16"/>
  <c r="E46" i="151"/>
  <c r="I46" s="1"/>
  <c r="I47" s="1"/>
  <c r="E33"/>
  <c r="I33" s="1"/>
  <c r="I34" s="1"/>
  <c r="B7" i="149"/>
  <c r="D7" s="1"/>
  <c r="B6"/>
  <c r="D6" s="1"/>
  <c r="B5"/>
  <c r="D5" s="1"/>
  <c r="B4"/>
  <c r="D4" s="1"/>
  <c r="B3"/>
  <c r="D3" s="1"/>
  <c r="B2"/>
  <c r="D2" s="1"/>
  <c r="E16" i="140"/>
  <c r="C22"/>
  <c r="B22"/>
  <c r="C21"/>
  <c r="B21"/>
  <c r="C20"/>
  <c r="B20"/>
  <c r="C19"/>
  <c r="B19"/>
  <c r="C18"/>
  <c r="B18"/>
  <c r="C17"/>
  <c r="B17"/>
  <c r="C16"/>
  <c r="B16"/>
  <c r="C15"/>
  <c r="B15"/>
  <c r="C13"/>
  <c r="B13"/>
  <c r="C12"/>
  <c r="B12"/>
  <c r="C11"/>
  <c r="B11"/>
  <c r="C10"/>
  <c r="B10"/>
  <c r="C9"/>
  <c r="B9"/>
  <c r="I49" i="151" l="1"/>
  <c r="D14" i="140" s="1"/>
  <c r="F14" s="1"/>
  <c r="P6" i="142"/>
  <c r="N6"/>
  <c r="I54" i="151" l="1"/>
  <c r="J49"/>
  <c r="I53"/>
  <c r="J36" i="143"/>
  <c r="M41" i="62"/>
  <c r="M44"/>
  <c r="M43"/>
  <c r="M42"/>
  <c r="M45" l="1"/>
  <c r="I55" i="151"/>
  <c r="O42" i="148"/>
  <c r="M44"/>
  <c r="N40"/>
  <c r="K38"/>
  <c r="K39" s="1"/>
  <c r="M40" s="1"/>
  <c r="M41" s="1"/>
  <c r="J37" i="143"/>
  <c r="P19"/>
  <c r="P20" s="1"/>
  <c r="L13" i="146"/>
  <c r="M42" i="148" l="1"/>
  <c r="M45"/>
  <c r="I58" i="151"/>
  <c r="I59" s="1"/>
  <c r="I61" s="1"/>
  <c r="I64" s="1"/>
  <c r="P42" i="148" l="1"/>
  <c r="P44" s="1"/>
  <c r="M46"/>
  <c r="K61" l="1"/>
  <c r="H60"/>
  <c r="H56"/>
  <c r="H55"/>
  <c r="H48"/>
  <c r="D48"/>
  <c r="C48"/>
  <c r="H47"/>
  <c r="I47" s="1"/>
  <c r="D47"/>
  <c r="C47"/>
  <c r="H46"/>
  <c r="I46" s="1"/>
  <c r="D46"/>
  <c r="C46"/>
  <c r="H45"/>
  <c r="I45" s="1"/>
  <c r="D45"/>
  <c r="C45"/>
  <c r="H44"/>
  <c r="I44" s="1"/>
  <c r="D44"/>
  <c r="C44"/>
  <c r="H43"/>
  <c r="I43" s="1"/>
  <c r="D43"/>
  <c r="C43"/>
  <c r="I42"/>
  <c r="D42"/>
  <c r="C42"/>
  <c r="H41"/>
  <c r="I41" s="1"/>
  <c r="D41"/>
  <c r="C41"/>
  <c r="H40"/>
  <c r="I40" s="1"/>
  <c r="D40"/>
  <c r="C40"/>
  <c r="H39"/>
  <c r="I39" s="1"/>
  <c r="D39"/>
  <c r="C39"/>
  <c r="H38"/>
  <c r="I38" s="1"/>
  <c r="D38"/>
  <c r="C38"/>
  <c r="I37"/>
  <c r="H35"/>
  <c r="D35"/>
  <c r="C35"/>
  <c r="H33"/>
  <c r="I33" s="1"/>
  <c r="D33"/>
  <c r="C33"/>
  <c r="H32"/>
  <c r="I32" s="1"/>
  <c r="D32"/>
  <c r="C32"/>
  <c r="H31"/>
  <c r="I31" s="1"/>
  <c r="D31"/>
  <c r="C31"/>
  <c r="H30"/>
  <c r="I30" s="1"/>
  <c r="D30"/>
  <c r="C30"/>
  <c r="H29"/>
  <c r="I29" s="1"/>
  <c r="D29"/>
  <c r="C29"/>
  <c r="H28"/>
  <c r="I28" s="1"/>
  <c r="D28"/>
  <c r="C28"/>
  <c r="H27"/>
  <c r="I27" s="1"/>
  <c r="D27"/>
  <c r="C27"/>
  <c r="H26"/>
  <c r="I26" s="1"/>
  <c r="D26"/>
  <c r="C26"/>
  <c r="H25"/>
  <c r="I25" s="1"/>
  <c r="D25"/>
  <c r="C25"/>
  <c r="I24"/>
  <c r="H22"/>
  <c r="I22" s="1"/>
  <c r="D22"/>
  <c r="C22"/>
  <c r="H21"/>
  <c r="I21" s="1"/>
  <c r="D21"/>
  <c r="C21"/>
  <c r="H20"/>
  <c r="I20" s="1"/>
  <c r="D20"/>
  <c r="C20"/>
  <c r="H19"/>
  <c r="I19" s="1"/>
  <c r="D19"/>
  <c r="C19"/>
  <c r="H18"/>
  <c r="I18" s="1"/>
  <c r="D18"/>
  <c r="C18"/>
  <c r="H17"/>
  <c r="I17" s="1"/>
  <c r="D17"/>
  <c r="C17"/>
  <c r="H16"/>
  <c r="I16" s="1"/>
  <c r="D16"/>
  <c r="C16"/>
  <c r="H15"/>
  <c r="I15" s="1"/>
  <c r="D15"/>
  <c r="C15"/>
  <c r="H14"/>
  <c r="I14" s="1"/>
  <c r="D14"/>
  <c r="C14"/>
  <c r="H13"/>
  <c r="I13" s="1"/>
  <c r="D13"/>
  <c r="C13"/>
  <c r="B4"/>
  <c r="H58" i="146"/>
  <c r="H54"/>
  <c r="H53"/>
  <c r="H46"/>
  <c r="D46"/>
  <c r="C46"/>
  <c r="H45"/>
  <c r="I45" s="1"/>
  <c r="D45"/>
  <c r="C45"/>
  <c r="H44"/>
  <c r="I44" s="1"/>
  <c r="D44"/>
  <c r="C44"/>
  <c r="H43"/>
  <c r="I43" s="1"/>
  <c r="D43"/>
  <c r="C43"/>
  <c r="H42"/>
  <c r="I42" s="1"/>
  <c r="D42"/>
  <c r="C42"/>
  <c r="H41"/>
  <c r="I41" s="1"/>
  <c r="D41"/>
  <c r="C41"/>
  <c r="H40"/>
  <c r="I40" s="1"/>
  <c r="D40"/>
  <c r="C40"/>
  <c r="H39"/>
  <c r="I39" s="1"/>
  <c r="D39"/>
  <c r="C39"/>
  <c r="H38"/>
  <c r="I38" s="1"/>
  <c r="D38"/>
  <c r="C38"/>
  <c r="H37"/>
  <c r="I37" s="1"/>
  <c r="D37"/>
  <c r="H36"/>
  <c r="I36" s="1"/>
  <c r="D36"/>
  <c r="H33"/>
  <c r="D33"/>
  <c r="C33"/>
  <c r="H31"/>
  <c r="I31" s="1"/>
  <c r="D31"/>
  <c r="C31"/>
  <c r="H30"/>
  <c r="I30" s="1"/>
  <c r="D30"/>
  <c r="C30"/>
  <c r="H29"/>
  <c r="I29" s="1"/>
  <c r="D29"/>
  <c r="C29"/>
  <c r="H28"/>
  <c r="I28" s="1"/>
  <c r="D28"/>
  <c r="C28"/>
  <c r="H27"/>
  <c r="I27" s="1"/>
  <c r="D27"/>
  <c r="C27"/>
  <c r="H26"/>
  <c r="I26" s="1"/>
  <c r="D26"/>
  <c r="C26"/>
  <c r="H25"/>
  <c r="I25" s="1"/>
  <c r="D25"/>
  <c r="C25"/>
  <c r="H24"/>
  <c r="I24" s="1"/>
  <c r="D24"/>
  <c r="C24"/>
  <c r="H23"/>
  <c r="I23" s="1"/>
  <c r="D23"/>
  <c r="C23"/>
  <c r="H20"/>
  <c r="I20" s="1"/>
  <c r="D20"/>
  <c r="C20"/>
  <c r="H19"/>
  <c r="I19" s="1"/>
  <c r="D19"/>
  <c r="C19"/>
  <c r="H18"/>
  <c r="I18" s="1"/>
  <c r="D18"/>
  <c r="C18"/>
  <c r="A7" i="149" s="1"/>
  <c r="H17" i="146"/>
  <c r="I17" s="1"/>
  <c r="D17"/>
  <c r="C17"/>
  <c r="A6" i="149" s="1"/>
  <c r="H16" i="146"/>
  <c r="I16" s="1"/>
  <c r="D16"/>
  <c r="C16"/>
  <c r="A5" i="149" s="1"/>
  <c r="H15" i="146"/>
  <c r="I15" s="1"/>
  <c r="D15"/>
  <c r="C15"/>
  <c r="A4" i="149" s="1"/>
  <c r="H14" i="146"/>
  <c r="I14" s="1"/>
  <c r="D14"/>
  <c r="C14"/>
  <c r="A3" i="149" s="1"/>
  <c r="H13" i="146"/>
  <c r="I13" s="1"/>
  <c r="D13"/>
  <c r="C13"/>
  <c r="A2" i="149" s="1"/>
  <c r="C5" i="146"/>
  <c r="B4"/>
  <c r="I34" i="148" l="1"/>
  <c r="E35" s="1"/>
  <c r="I23"/>
  <c r="I32" i="146"/>
  <c r="E46" s="1"/>
  <c r="I21"/>
  <c r="I33" i="143"/>
  <c r="H18"/>
  <c r="I18" s="1"/>
  <c r="H17"/>
  <c r="I17" s="1"/>
  <c r="H16"/>
  <c r="I16" s="1"/>
  <c r="H15"/>
  <c r="I15" s="1"/>
  <c r="H14"/>
  <c r="I14" s="1"/>
  <c r="H13"/>
  <c r="I13" s="1"/>
  <c r="C18"/>
  <c r="A13" i="149" s="1"/>
  <c r="C17" i="143"/>
  <c r="A12" i="149" s="1"/>
  <c r="C16" i="143"/>
  <c r="A11" i="149" s="1"/>
  <c r="C15" i="143"/>
  <c r="A10" i="149" s="1"/>
  <c r="C14" i="143"/>
  <c r="A9" i="149" s="1"/>
  <c r="C13" i="143"/>
  <c r="A8" i="149" s="1"/>
  <c r="H29" i="143"/>
  <c r="I29" s="1"/>
  <c r="D29"/>
  <c r="C29"/>
  <c r="H28"/>
  <c r="I28" s="1"/>
  <c r="D28"/>
  <c r="C28"/>
  <c r="H27"/>
  <c r="I27" s="1"/>
  <c r="D27"/>
  <c r="C27"/>
  <c r="H26"/>
  <c r="I26" s="1"/>
  <c r="D26"/>
  <c r="C26"/>
  <c r="H25"/>
  <c r="I25" s="1"/>
  <c r="D25"/>
  <c r="C25"/>
  <c r="H24"/>
  <c r="I24" s="1"/>
  <c r="D24"/>
  <c r="C24"/>
  <c r="H23"/>
  <c r="I23" s="1"/>
  <c r="D23"/>
  <c r="C23"/>
  <c r="H39"/>
  <c r="H38"/>
  <c r="I38" s="1"/>
  <c r="H37"/>
  <c r="I37" s="1"/>
  <c r="H36"/>
  <c r="I36" s="1"/>
  <c r="L36" s="1"/>
  <c r="D39"/>
  <c r="D38"/>
  <c r="D37"/>
  <c r="D36"/>
  <c r="C39"/>
  <c r="C38"/>
  <c r="C37"/>
  <c r="C36"/>
  <c r="E33" i="146" l="1"/>
  <c r="I33" s="1"/>
  <c r="I34" s="1"/>
  <c r="E48" i="148"/>
  <c r="I48" s="1"/>
  <c r="I49" s="1"/>
  <c r="I35"/>
  <c r="I36" s="1"/>
  <c r="I46" i="146"/>
  <c r="I47" s="1"/>
  <c r="I32" i="143"/>
  <c r="E46" s="1"/>
  <c r="I21"/>
  <c r="I51" i="148" l="1"/>
  <c r="I49" i="146"/>
  <c r="I34" i="143"/>
  <c r="I55" i="148" l="1"/>
  <c r="D17" i="140"/>
  <c r="F17" s="1"/>
  <c r="I54" i="146"/>
  <c r="D15" i="140"/>
  <c r="I56" i="148"/>
  <c r="I53" i="146"/>
  <c r="J49"/>
  <c r="H58" i="143"/>
  <c r="H54"/>
  <c r="H53"/>
  <c r="H46"/>
  <c r="I46" s="1"/>
  <c r="D46"/>
  <c r="C46"/>
  <c r="H45"/>
  <c r="I45" s="1"/>
  <c r="D45"/>
  <c r="C45"/>
  <c r="H44"/>
  <c r="I44" s="1"/>
  <c r="D44"/>
  <c r="C44"/>
  <c r="H43"/>
  <c r="I43" s="1"/>
  <c r="D43"/>
  <c r="C43"/>
  <c r="H42"/>
  <c r="I42" s="1"/>
  <c r="D42"/>
  <c r="C42"/>
  <c r="H41"/>
  <c r="I41" s="1"/>
  <c r="D41"/>
  <c r="C41"/>
  <c r="H40"/>
  <c r="I40" s="1"/>
  <c r="D40"/>
  <c r="C40"/>
  <c r="C5"/>
  <c r="B4"/>
  <c r="F15" i="140" l="1"/>
  <c r="F12" i="164"/>
  <c r="G12" s="1"/>
  <c r="I57" i="148"/>
  <c r="I60" s="1"/>
  <c r="I61" s="1"/>
  <c r="I63" s="1"/>
  <c r="I66" s="1"/>
  <c r="I55" i="146"/>
  <c r="I58" s="1"/>
  <c r="I59" s="1"/>
  <c r="I47" i="143"/>
  <c r="H58" i="142"/>
  <c r="H54"/>
  <c r="H53"/>
  <c r="H46"/>
  <c r="D46"/>
  <c r="C46"/>
  <c r="H45"/>
  <c r="I45" s="1"/>
  <c r="D45"/>
  <c r="C45"/>
  <c r="H42"/>
  <c r="I42" s="1"/>
  <c r="D42"/>
  <c r="C42"/>
  <c r="H41"/>
  <c r="I41" s="1"/>
  <c r="D41"/>
  <c r="C41"/>
  <c r="H40"/>
  <c r="I40" s="1"/>
  <c r="D40"/>
  <c r="C40"/>
  <c r="H39"/>
  <c r="I39" s="1"/>
  <c r="D39"/>
  <c r="C39"/>
  <c r="H38"/>
  <c r="I38" s="1"/>
  <c r="D38"/>
  <c r="C38"/>
  <c r="H35"/>
  <c r="D35"/>
  <c r="C35"/>
  <c r="H33"/>
  <c r="I33" s="1"/>
  <c r="D33"/>
  <c r="C33"/>
  <c r="H32"/>
  <c r="I32" s="1"/>
  <c r="D32"/>
  <c r="C32"/>
  <c r="H31"/>
  <c r="I31" s="1"/>
  <c r="D31"/>
  <c r="C31"/>
  <c r="H30"/>
  <c r="I30" s="1"/>
  <c r="D30"/>
  <c r="C30"/>
  <c r="H29"/>
  <c r="I29" s="1"/>
  <c r="D29"/>
  <c r="C29"/>
  <c r="H28"/>
  <c r="I28" s="1"/>
  <c r="D28"/>
  <c r="C28"/>
  <c r="H27"/>
  <c r="I27" s="1"/>
  <c r="D27"/>
  <c r="C27"/>
  <c r="H26"/>
  <c r="I26" s="1"/>
  <c r="D26"/>
  <c r="C26"/>
  <c r="H25"/>
  <c r="I25" s="1"/>
  <c r="D25"/>
  <c r="C25"/>
  <c r="H22"/>
  <c r="I22" s="1"/>
  <c r="D22"/>
  <c r="C22"/>
  <c r="H21"/>
  <c r="I21" s="1"/>
  <c r="D21"/>
  <c r="C21"/>
  <c r="H20"/>
  <c r="I20" s="1"/>
  <c r="D20"/>
  <c r="C20"/>
  <c r="H19"/>
  <c r="I19" s="1"/>
  <c r="D19"/>
  <c r="C19"/>
  <c r="H18"/>
  <c r="I18" s="1"/>
  <c r="D18"/>
  <c r="C18"/>
  <c r="H17"/>
  <c r="I17" s="1"/>
  <c r="D17"/>
  <c r="C17"/>
  <c r="H16"/>
  <c r="I16" s="1"/>
  <c r="D16"/>
  <c r="C16"/>
  <c r="H15"/>
  <c r="I15" s="1"/>
  <c r="D15"/>
  <c r="C15"/>
  <c r="H14"/>
  <c r="I14" s="1"/>
  <c r="D14"/>
  <c r="C14"/>
  <c r="H13"/>
  <c r="I13" s="1"/>
  <c r="D13"/>
  <c r="C13"/>
  <c r="C5"/>
  <c r="B4"/>
  <c r="C4" s="1"/>
  <c r="F12" i="247" l="1"/>
  <c r="G12" s="1"/>
  <c r="F13" i="62"/>
  <c r="G13" s="1"/>
  <c r="I61" i="146"/>
  <c r="I64" s="1"/>
  <c r="I34" i="142"/>
  <c r="I23"/>
  <c r="H13" i="62" l="1"/>
  <c r="I13" s="1"/>
  <c r="D9" i="140"/>
  <c r="F9" s="1"/>
  <c r="E35" i="142"/>
  <c r="D111" i="62"/>
  <c r="H97"/>
  <c r="I96"/>
  <c r="D107"/>
  <c r="D97"/>
  <c r="D105"/>
  <c r="D103"/>
  <c r="H60" i="141"/>
  <c r="H56"/>
  <c r="H55"/>
  <c r="H48"/>
  <c r="D48"/>
  <c r="C48"/>
  <c r="H47"/>
  <c r="I47" s="1"/>
  <c r="D47"/>
  <c r="C47"/>
  <c r="H46"/>
  <c r="I46" s="1"/>
  <c r="D46"/>
  <c r="C46"/>
  <c r="H45"/>
  <c r="I45" s="1"/>
  <c r="D45"/>
  <c r="C45"/>
  <c r="H44"/>
  <c r="I44" s="1"/>
  <c r="D44"/>
  <c r="C44"/>
  <c r="H43"/>
  <c r="I43" s="1"/>
  <c r="D43"/>
  <c r="C43"/>
  <c r="H42"/>
  <c r="I42" s="1"/>
  <c r="D42"/>
  <c r="C42"/>
  <c r="H41"/>
  <c r="I41" s="1"/>
  <c r="D41"/>
  <c r="C41"/>
  <c r="H40"/>
  <c r="I40" s="1"/>
  <c r="D40"/>
  <c r="C40"/>
  <c r="H39"/>
  <c r="I39" s="1"/>
  <c r="D39"/>
  <c r="C39"/>
  <c r="H38"/>
  <c r="I38" s="1"/>
  <c r="D38"/>
  <c r="C38"/>
  <c r="H35"/>
  <c r="D35"/>
  <c r="C35"/>
  <c r="H33"/>
  <c r="I33" s="1"/>
  <c r="D33"/>
  <c r="C33"/>
  <c r="H32"/>
  <c r="I32" s="1"/>
  <c r="D32"/>
  <c r="C32"/>
  <c r="H31"/>
  <c r="I31" s="1"/>
  <c r="D31"/>
  <c r="C31"/>
  <c r="H30"/>
  <c r="I30" s="1"/>
  <c r="D30"/>
  <c r="C30"/>
  <c r="H29"/>
  <c r="I29" s="1"/>
  <c r="D29"/>
  <c r="C29"/>
  <c r="H28"/>
  <c r="I28" s="1"/>
  <c r="D28"/>
  <c r="C28"/>
  <c r="H27"/>
  <c r="I27" s="1"/>
  <c r="D27"/>
  <c r="C27"/>
  <c r="H26"/>
  <c r="I26" s="1"/>
  <c r="D26"/>
  <c r="C26"/>
  <c r="H25"/>
  <c r="I25" s="1"/>
  <c r="D25"/>
  <c r="C25"/>
  <c r="H22"/>
  <c r="I22" s="1"/>
  <c r="D22"/>
  <c r="C22"/>
  <c r="H21"/>
  <c r="I21" s="1"/>
  <c r="D21"/>
  <c r="C21"/>
  <c r="H20"/>
  <c r="I20" s="1"/>
  <c r="D20"/>
  <c r="C20"/>
  <c r="H19"/>
  <c r="I19" s="1"/>
  <c r="D19"/>
  <c r="C19"/>
  <c r="H18"/>
  <c r="I18" s="1"/>
  <c r="D18"/>
  <c r="C18"/>
  <c r="H17"/>
  <c r="I17" s="1"/>
  <c r="D17"/>
  <c r="C17"/>
  <c r="H16"/>
  <c r="I16" s="1"/>
  <c r="D16"/>
  <c r="C16"/>
  <c r="H15"/>
  <c r="I15" s="1"/>
  <c r="D15"/>
  <c r="C15"/>
  <c r="H14"/>
  <c r="I14" s="1"/>
  <c r="D14"/>
  <c r="C14"/>
  <c r="H13"/>
  <c r="I13" s="1"/>
  <c r="D13"/>
  <c r="C13"/>
  <c r="C5"/>
  <c r="B4"/>
  <c r="I49" i="143" l="1"/>
  <c r="D16" i="140" s="1"/>
  <c r="F16" s="1"/>
  <c r="E46" i="142"/>
  <c r="I46" s="1"/>
  <c r="I47" s="1"/>
  <c r="I35"/>
  <c r="I36" s="1"/>
  <c r="I23" i="141"/>
  <c r="I34"/>
  <c r="E35" s="1"/>
  <c r="I53" i="143" l="1"/>
  <c r="I54"/>
  <c r="J49"/>
  <c r="I49" i="142"/>
  <c r="E48" i="141"/>
  <c r="I48" s="1"/>
  <c r="I49" s="1"/>
  <c r="I35"/>
  <c r="I36" s="1"/>
  <c r="I53" i="142" l="1"/>
  <c r="D20" i="140"/>
  <c r="F20" s="1"/>
  <c r="I55" i="143"/>
  <c r="I54" i="142"/>
  <c r="I51" i="141"/>
  <c r="D18" i="140" s="1"/>
  <c r="F21" i="164" s="1"/>
  <c r="G21" s="1"/>
  <c r="F18" i="140" l="1"/>
  <c r="I55" i="142"/>
  <c r="I58" s="1"/>
  <c r="I59" s="1"/>
  <c r="I61" s="1"/>
  <c r="I64" s="1"/>
  <c r="I58" i="143"/>
  <c r="I59" s="1"/>
  <c r="I61" s="1"/>
  <c r="I64" s="1"/>
  <c r="J51" i="141"/>
  <c r="I55"/>
  <c r="I56"/>
  <c r="A20" i="149"/>
  <c r="A19"/>
  <c r="A18"/>
  <c r="A17"/>
  <c r="A16"/>
  <c r="A15"/>
  <c r="A14"/>
  <c r="C8" i="140"/>
  <c r="B8"/>
  <c r="H107" i="62"/>
  <c r="E109"/>
  <c r="H109" s="1"/>
  <c r="D108"/>
  <c r="D106"/>
  <c r="D104"/>
  <c r="D102"/>
  <c r="D101"/>
  <c r="D100"/>
  <c r="D99"/>
  <c r="D98"/>
  <c r="D96"/>
  <c r="D112" l="1"/>
  <c r="D113" s="1"/>
  <c r="I57" i="141"/>
  <c r="I60" l="1"/>
  <c r="I61" s="1"/>
  <c r="I63" s="1"/>
  <c r="I66" s="1"/>
  <c r="E87" i="62" l="1"/>
  <c r="I70" l="1"/>
  <c r="I71"/>
  <c r="I69"/>
  <c r="I72" l="1"/>
  <c r="F71" s="1"/>
  <c r="E64"/>
  <c r="E63"/>
  <c r="H60" i="51" l="1"/>
  <c r="H64" i="64"/>
  <c r="E36" i="130" l="1"/>
  <c r="E38" i="126"/>
  <c r="E36" l="1"/>
  <c r="E15"/>
  <c r="E13"/>
  <c r="E12"/>
  <c r="B4" i="118"/>
  <c r="C4" s="1"/>
  <c r="B4" i="130"/>
  <c r="C4" s="1"/>
  <c r="B4" i="126"/>
  <c r="C4" s="1"/>
  <c r="B4" i="64"/>
  <c r="B4" i="51"/>
  <c r="D30" i="64" l="1"/>
  <c r="C33" i="118" l="1"/>
  <c r="D33"/>
  <c r="H33"/>
  <c r="H11" i="126"/>
  <c r="K53" i="62" l="1"/>
  <c r="F46" l="1"/>
  <c r="F70"/>
  <c r="F67"/>
  <c r="F64"/>
  <c r="F61"/>
  <c r="F60"/>
  <c r="F59"/>
  <c r="F58"/>
  <c r="F57"/>
  <c r="F56"/>
  <c r="F55"/>
  <c r="F54"/>
  <c r="F53"/>
  <c r="F52"/>
  <c r="F51"/>
  <c r="F49"/>
  <c r="F48"/>
  <c r="F47"/>
  <c r="F45"/>
  <c r="F62"/>
  <c r="F44"/>
  <c r="H46" i="130"/>
  <c r="I46" s="1"/>
  <c r="D46"/>
  <c r="C46"/>
  <c r="H45"/>
  <c r="I45" s="1"/>
  <c r="D45"/>
  <c r="C45"/>
  <c r="H44"/>
  <c r="I44" s="1"/>
  <c r="D44"/>
  <c r="C44"/>
  <c r="H43"/>
  <c r="I43" s="1"/>
  <c r="D43"/>
  <c r="C43"/>
  <c r="H42"/>
  <c r="I42" s="1"/>
  <c r="D42"/>
  <c r="C42"/>
  <c r="H41"/>
  <c r="I41" s="1"/>
  <c r="D41"/>
  <c r="C41"/>
  <c r="H40"/>
  <c r="I40" s="1"/>
  <c r="D40"/>
  <c r="C40"/>
  <c r="H39"/>
  <c r="I39" s="1"/>
  <c r="D39"/>
  <c r="C39"/>
  <c r="H38"/>
  <c r="I38" s="1"/>
  <c r="D38"/>
  <c r="C38"/>
  <c r="H37"/>
  <c r="I37" s="1"/>
  <c r="D37"/>
  <c r="C37"/>
  <c r="H36"/>
  <c r="I36" s="1"/>
  <c r="D36"/>
  <c r="C36"/>
  <c r="H20"/>
  <c r="I20" s="1"/>
  <c r="D20"/>
  <c r="C20"/>
  <c r="H19"/>
  <c r="I19" s="1"/>
  <c r="D19"/>
  <c r="C19"/>
  <c r="H18"/>
  <c r="I18" s="1"/>
  <c r="D18"/>
  <c r="C18"/>
  <c r="H17"/>
  <c r="I17" s="1"/>
  <c r="D17"/>
  <c r="C17"/>
  <c r="H16"/>
  <c r="I16" s="1"/>
  <c r="D16"/>
  <c r="C16"/>
  <c r="H15"/>
  <c r="I15" s="1"/>
  <c r="D15"/>
  <c r="C15"/>
  <c r="H14"/>
  <c r="I14" s="1"/>
  <c r="D14"/>
  <c r="C14"/>
  <c r="H13"/>
  <c r="I13" s="1"/>
  <c r="D13"/>
  <c r="C13"/>
  <c r="H12"/>
  <c r="I12" s="1"/>
  <c r="D12"/>
  <c r="C12"/>
  <c r="H11"/>
  <c r="I11" s="1"/>
  <c r="D11"/>
  <c r="C11"/>
  <c r="C5"/>
  <c r="C12" i="126"/>
  <c r="D12"/>
  <c r="C13"/>
  <c r="D13"/>
  <c r="H13"/>
  <c r="I13" s="1"/>
  <c r="C14"/>
  <c r="D14"/>
  <c r="H14"/>
  <c r="I14" s="1"/>
  <c r="C15"/>
  <c r="D15"/>
  <c r="H15"/>
  <c r="I15" s="1"/>
  <c r="C16"/>
  <c r="D16"/>
  <c r="H16"/>
  <c r="I16" s="1"/>
  <c r="C11"/>
  <c r="D11"/>
  <c r="I11"/>
  <c r="C19"/>
  <c r="D19"/>
  <c r="H19"/>
  <c r="I19" s="1"/>
  <c r="C20"/>
  <c r="D20"/>
  <c r="H20"/>
  <c r="I20" s="1"/>
  <c r="I22"/>
  <c r="C33"/>
  <c r="D33"/>
  <c r="H33"/>
  <c r="I35"/>
  <c r="C36"/>
  <c r="D36"/>
  <c r="H36"/>
  <c r="I36" s="1"/>
  <c r="C37"/>
  <c r="D37"/>
  <c r="H37"/>
  <c r="C38"/>
  <c r="D38"/>
  <c r="H38"/>
  <c r="I38" s="1"/>
  <c r="C39"/>
  <c r="D39"/>
  <c r="H39"/>
  <c r="C40"/>
  <c r="D40"/>
  <c r="H40"/>
  <c r="I40" s="1"/>
  <c r="C41"/>
  <c r="D41"/>
  <c r="H41"/>
  <c r="I41" s="1"/>
  <c r="C42"/>
  <c r="D42"/>
  <c r="H42"/>
  <c r="I42" s="1"/>
  <c r="C43"/>
  <c r="D43"/>
  <c r="H43"/>
  <c r="I43" s="1"/>
  <c r="C44"/>
  <c r="D44"/>
  <c r="H44"/>
  <c r="I44" s="1"/>
  <c r="C45"/>
  <c r="D45"/>
  <c r="H45"/>
  <c r="I45" s="1"/>
  <c r="C46"/>
  <c r="D46"/>
  <c r="H46"/>
  <c r="H13" i="64"/>
  <c r="I13" s="1"/>
  <c r="H14"/>
  <c r="H15"/>
  <c r="H16"/>
  <c r="H17"/>
  <c r="I17" s="1"/>
  <c r="H18"/>
  <c r="I18" s="1"/>
  <c r="H19"/>
  <c r="I19" s="1"/>
  <c r="H25"/>
  <c r="I25" s="1"/>
  <c r="H26"/>
  <c r="I26" s="1"/>
  <c r="H39"/>
  <c r="H42"/>
  <c r="H43"/>
  <c r="H44"/>
  <c r="I44" s="1"/>
  <c r="H45"/>
  <c r="H46"/>
  <c r="I46" s="1"/>
  <c r="H47"/>
  <c r="I47" s="1"/>
  <c r="H48"/>
  <c r="I48" s="1"/>
  <c r="H49"/>
  <c r="I49" s="1"/>
  <c r="H50"/>
  <c r="I50" s="1"/>
  <c r="H51"/>
  <c r="I51" s="1"/>
  <c r="H52"/>
  <c r="E11" i="117"/>
  <c r="G11" s="1"/>
  <c r="E12"/>
  <c r="G12" s="1"/>
  <c r="E13"/>
  <c r="G13" s="1"/>
  <c r="E14"/>
  <c r="G14" s="1"/>
  <c r="E15"/>
  <c r="G15" s="1"/>
  <c r="E16"/>
  <c r="G16" s="1"/>
  <c r="E17"/>
  <c r="G17" s="1"/>
  <c r="E18"/>
  <c r="G18" s="1"/>
  <c r="E19"/>
  <c r="G19" s="1"/>
  <c r="E20"/>
  <c r="G20" s="1"/>
  <c r="E36"/>
  <c r="E37"/>
  <c r="G37" s="1"/>
  <c r="E38"/>
  <c r="G38" s="1"/>
  <c r="E39"/>
  <c r="G39" s="1"/>
  <c r="E40"/>
  <c r="G40" s="1"/>
  <c r="E41"/>
  <c r="G41" s="1"/>
  <c r="E42"/>
  <c r="G42" s="1"/>
  <c r="E43"/>
  <c r="G43" s="1"/>
  <c r="E44"/>
  <c r="G44" s="1"/>
  <c r="E45"/>
  <c r="G45" s="1"/>
  <c r="E46"/>
  <c r="G46" s="1"/>
  <c r="H11" i="118"/>
  <c r="I11" s="1"/>
  <c r="H12"/>
  <c r="I12" s="1"/>
  <c r="H13"/>
  <c r="I13" s="1"/>
  <c r="H14"/>
  <c r="I14" s="1"/>
  <c r="H15"/>
  <c r="I15" s="1"/>
  <c r="H16"/>
  <c r="I16" s="1"/>
  <c r="H17"/>
  <c r="I17" s="1"/>
  <c r="H18"/>
  <c r="I18" s="1"/>
  <c r="H19"/>
  <c r="I19" s="1"/>
  <c r="H20"/>
  <c r="I20" s="1"/>
  <c r="H36"/>
  <c r="H37"/>
  <c r="I37" s="1"/>
  <c r="H38"/>
  <c r="I38" s="1"/>
  <c r="H39"/>
  <c r="I39" s="1"/>
  <c r="H40"/>
  <c r="I40" s="1"/>
  <c r="H41"/>
  <c r="I41" s="1"/>
  <c r="H42"/>
  <c r="I42" s="1"/>
  <c r="H43"/>
  <c r="I43" s="1"/>
  <c r="H44"/>
  <c r="I44" s="1"/>
  <c r="H45"/>
  <c r="I45" s="1"/>
  <c r="H46"/>
  <c r="F43" i="62"/>
  <c r="F50"/>
  <c r="F63"/>
  <c r="F65"/>
  <c r="F66"/>
  <c r="F75"/>
  <c r="F76"/>
  <c r="F77"/>
  <c r="F78"/>
  <c r="F79"/>
  <c r="H13" i="51"/>
  <c r="H14"/>
  <c r="I14" s="1"/>
  <c r="H15"/>
  <c r="I15" s="1"/>
  <c r="H16"/>
  <c r="I16" s="1"/>
  <c r="H17"/>
  <c r="I17" s="1"/>
  <c r="H18"/>
  <c r="I18" s="1"/>
  <c r="H19"/>
  <c r="I19" s="1"/>
  <c r="H20"/>
  <c r="I20" s="1"/>
  <c r="H21"/>
  <c r="I21" s="1"/>
  <c r="H22"/>
  <c r="I22" s="1"/>
  <c r="H38"/>
  <c r="I38" s="1"/>
  <c r="H39"/>
  <c r="I39" s="1"/>
  <c r="H40"/>
  <c r="I40" s="1"/>
  <c r="H41"/>
  <c r="I41" s="1"/>
  <c r="I42"/>
  <c r="H43"/>
  <c r="I43" s="1"/>
  <c r="H44"/>
  <c r="I44" s="1"/>
  <c r="H45"/>
  <c r="I45" s="1"/>
  <c r="H46"/>
  <c r="I46" s="1"/>
  <c r="H47"/>
  <c r="I47" s="1"/>
  <c r="H48"/>
  <c r="A37" i="117"/>
  <c r="A38" s="1"/>
  <c r="A39" s="1"/>
  <c r="A40" s="1"/>
  <c r="A41" s="1"/>
  <c r="A42" s="1"/>
  <c r="A43" s="1"/>
  <c r="A44" s="1"/>
  <c r="A45" s="1"/>
  <c r="A46" s="1"/>
  <c r="A24"/>
  <c r="A25" s="1"/>
  <c r="A26" s="1"/>
  <c r="A27" s="1"/>
  <c r="A28" s="1"/>
  <c r="A29" s="1"/>
  <c r="A30" s="1"/>
  <c r="A31" s="1"/>
  <c r="A32" s="1"/>
  <c r="A33" s="1"/>
  <c r="C5" i="118"/>
  <c r="C11"/>
  <c r="D11"/>
  <c r="C12"/>
  <c r="D12"/>
  <c r="C13"/>
  <c r="D13"/>
  <c r="C14"/>
  <c r="D14"/>
  <c r="C15"/>
  <c r="D15"/>
  <c r="C16"/>
  <c r="D16"/>
  <c r="C17"/>
  <c r="D17"/>
  <c r="C18"/>
  <c r="D18"/>
  <c r="C19"/>
  <c r="D19"/>
  <c r="C20"/>
  <c r="D20"/>
  <c r="C36"/>
  <c r="D36"/>
  <c r="C37"/>
  <c r="D37"/>
  <c r="C38"/>
  <c r="D38"/>
  <c r="C39"/>
  <c r="D39"/>
  <c r="C40"/>
  <c r="D40"/>
  <c r="C41"/>
  <c r="D41"/>
  <c r="C42"/>
  <c r="D42"/>
  <c r="C43"/>
  <c r="D43"/>
  <c r="C44"/>
  <c r="D44"/>
  <c r="C45"/>
  <c r="D45"/>
  <c r="C46"/>
  <c r="D46"/>
  <c r="C4" i="117"/>
  <c r="C5"/>
  <c r="C11"/>
  <c r="D11"/>
  <c r="A12"/>
  <c r="A13" s="1"/>
  <c r="A14" s="1"/>
  <c r="A15" s="1"/>
  <c r="A16" s="1"/>
  <c r="A17" s="1"/>
  <c r="A18" s="1"/>
  <c r="A19" s="1"/>
  <c r="A20" s="1"/>
  <c r="C12"/>
  <c r="D12"/>
  <c r="C13"/>
  <c r="D13"/>
  <c r="C14"/>
  <c r="D14"/>
  <c r="C15"/>
  <c r="D15"/>
  <c r="C16"/>
  <c r="D16"/>
  <c r="C17"/>
  <c r="D17"/>
  <c r="C18"/>
  <c r="D18"/>
  <c r="C19"/>
  <c r="D19"/>
  <c r="C20"/>
  <c r="D20"/>
  <c r="C36"/>
  <c r="D36"/>
  <c r="C37"/>
  <c r="D37"/>
  <c r="C38"/>
  <c r="D38"/>
  <c r="C39"/>
  <c r="D39"/>
  <c r="C40"/>
  <c r="D40"/>
  <c r="C41"/>
  <c r="D41"/>
  <c r="C42"/>
  <c r="D42"/>
  <c r="C43"/>
  <c r="D43"/>
  <c r="C44"/>
  <c r="D44"/>
  <c r="C45"/>
  <c r="D45"/>
  <c r="C46"/>
  <c r="D46"/>
  <c r="I37" i="51"/>
  <c r="I24"/>
  <c r="D16"/>
  <c r="C16"/>
  <c r="D15"/>
  <c r="C15"/>
  <c r="D14"/>
  <c r="C14"/>
  <c r="D13"/>
  <c r="C13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22"/>
  <c r="C22"/>
  <c r="D21"/>
  <c r="C21"/>
  <c r="D20"/>
  <c r="C20"/>
  <c r="D19"/>
  <c r="C19"/>
  <c r="D18"/>
  <c r="C18"/>
  <c r="D17"/>
  <c r="C17"/>
  <c r="I41" i="64"/>
  <c r="I28"/>
  <c r="D15"/>
  <c r="C15"/>
  <c r="D14"/>
  <c r="C14"/>
  <c r="D13"/>
  <c r="C13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39"/>
  <c r="C39"/>
  <c r="D26"/>
  <c r="C26"/>
  <c r="D25"/>
  <c r="C25"/>
  <c r="D19"/>
  <c r="C19"/>
  <c r="D18"/>
  <c r="C18"/>
  <c r="D17"/>
  <c r="C17"/>
  <c r="D16"/>
  <c r="C16"/>
  <c r="I47" i="130" l="1"/>
  <c r="I21"/>
  <c r="G36" i="117"/>
  <c r="G47" s="1"/>
  <c r="I42" i="64"/>
  <c r="I39" i="126"/>
  <c r="I13" i="51"/>
  <c r="I23" s="1"/>
  <c r="G21" i="117"/>
  <c r="I37" i="126"/>
  <c r="F83" i="62"/>
  <c r="I36" i="118"/>
  <c r="I21"/>
  <c r="I15" i="64"/>
  <c r="I45"/>
  <c r="I43"/>
  <c r="I16"/>
  <c r="I14"/>
  <c r="D31" l="1"/>
  <c r="D32"/>
  <c r="H32"/>
  <c r="I32" s="1"/>
  <c r="C33"/>
  <c r="C32"/>
  <c r="H31"/>
  <c r="I31" s="1"/>
  <c r="C31"/>
  <c r="H26" i="126"/>
  <c r="I26" s="1"/>
  <c r="D33" i="130"/>
  <c r="C32"/>
  <c r="H30"/>
  <c r="I30" s="1"/>
  <c r="D29"/>
  <c r="C28"/>
  <c r="H26"/>
  <c r="I26" s="1"/>
  <c r="D25"/>
  <c r="C24"/>
  <c r="C23"/>
  <c r="C25" i="126"/>
  <c r="H33" i="130"/>
  <c r="I33" s="1"/>
  <c r="D32"/>
  <c r="C31"/>
  <c r="H29"/>
  <c r="I29" s="1"/>
  <c r="D28"/>
  <c r="C27"/>
  <c r="H25"/>
  <c r="I25" s="1"/>
  <c r="D24"/>
  <c r="D26" i="126"/>
  <c r="D25" i="51"/>
  <c r="C25"/>
  <c r="H25" i="126"/>
  <c r="I25" s="1"/>
  <c r="H32" i="130"/>
  <c r="I32" s="1"/>
  <c r="D31"/>
  <c r="C30"/>
  <c r="H28"/>
  <c r="I28" s="1"/>
  <c r="D27"/>
  <c r="C26"/>
  <c r="H24"/>
  <c r="I24" s="1"/>
  <c r="H23"/>
  <c r="I23" s="1"/>
  <c r="C26" i="126"/>
  <c r="C33" i="130"/>
  <c r="H31"/>
  <c r="I31" s="1"/>
  <c r="D30"/>
  <c r="C29"/>
  <c r="H27"/>
  <c r="I27" s="1"/>
  <c r="D26"/>
  <c r="C25"/>
  <c r="D23"/>
  <c r="D25" i="126"/>
  <c r="H25" i="51"/>
  <c r="I25" s="1"/>
  <c r="H26"/>
  <c r="I26" s="1"/>
  <c r="H27"/>
  <c r="I27" s="1"/>
  <c r="H28"/>
  <c r="I28" s="1"/>
  <c r="H29"/>
  <c r="I29" s="1"/>
  <c r="H30"/>
  <c r="I30" s="1"/>
  <c r="H31"/>
  <c r="I31" s="1"/>
  <c r="H32"/>
  <c r="I32" s="1"/>
  <c r="H33"/>
  <c r="I33" s="1"/>
  <c r="H35"/>
  <c r="D23" i="118"/>
  <c r="D24"/>
  <c r="D25"/>
  <c r="D26"/>
  <c r="D27"/>
  <c r="D28"/>
  <c r="D29"/>
  <c r="D30"/>
  <c r="D31"/>
  <c r="D32"/>
  <c r="C23" i="117"/>
  <c r="C24"/>
  <c r="C25"/>
  <c r="C26"/>
  <c r="C27"/>
  <c r="C28"/>
  <c r="C29"/>
  <c r="C30"/>
  <c r="C31"/>
  <c r="C32"/>
  <c r="C33"/>
  <c r="C35" i="51"/>
  <c r="C33"/>
  <c r="C32"/>
  <c r="C31"/>
  <c r="C30"/>
  <c r="C29"/>
  <c r="C28"/>
  <c r="C27"/>
  <c r="C26"/>
  <c r="D37" i="64"/>
  <c r="D36"/>
  <c r="D35"/>
  <c r="D34"/>
  <c r="D33"/>
  <c r="D29"/>
  <c r="C23" i="118"/>
  <c r="C24"/>
  <c r="C25"/>
  <c r="C26"/>
  <c r="C27"/>
  <c r="C28"/>
  <c r="C29"/>
  <c r="C30"/>
  <c r="C31"/>
  <c r="C32"/>
  <c r="D23" i="117"/>
  <c r="D24"/>
  <c r="D25"/>
  <c r="D26"/>
  <c r="D27"/>
  <c r="D28"/>
  <c r="D29"/>
  <c r="D30"/>
  <c r="D31"/>
  <c r="D32"/>
  <c r="D33"/>
  <c r="D35" i="51"/>
  <c r="D33"/>
  <c r="D32"/>
  <c r="D31"/>
  <c r="D30"/>
  <c r="D29"/>
  <c r="D28"/>
  <c r="D27"/>
  <c r="D26"/>
  <c r="C37" i="64"/>
  <c r="C36"/>
  <c r="C35"/>
  <c r="C34"/>
  <c r="C30"/>
  <c r="C29"/>
  <c r="H32" i="118"/>
  <c r="I32" s="1"/>
  <c r="H30"/>
  <c r="I30" s="1"/>
  <c r="H28"/>
  <c r="I28" s="1"/>
  <c r="H26"/>
  <c r="I26" s="1"/>
  <c r="H24"/>
  <c r="I24" s="1"/>
  <c r="E32" i="117"/>
  <c r="G32" s="1"/>
  <c r="E30"/>
  <c r="G30" s="1"/>
  <c r="E28"/>
  <c r="G28" s="1"/>
  <c r="E26"/>
  <c r="G26" s="1"/>
  <c r="E24"/>
  <c r="G24" s="1"/>
  <c r="C32" i="126"/>
  <c r="H30"/>
  <c r="I30" s="1"/>
  <c r="D29"/>
  <c r="C28"/>
  <c r="H24"/>
  <c r="I24" s="1"/>
  <c r="D23"/>
  <c r="H37" i="64"/>
  <c r="I37" s="1"/>
  <c r="H35"/>
  <c r="I35" s="1"/>
  <c r="H33"/>
  <c r="I33" s="1"/>
  <c r="H29"/>
  <c r="I29" s="1"/>
  <c r="D32" i="126"/>
  <c r="C31"/>
  <c r="H29"/>
  <c r="I29" s="1"/>
  <c r="D28"/>
  <c r="C27"/>
  <c r="H23"/>
  <c r="I23" s="1"/>
  <c r="H31" i="118"/>
  <c r="I31" s="1"/>
  <c r="H29"/>
  <c r="I29" s="1"/>
  <c r="H27"/>
  <c r="I27" s="1"/>
  <c r="H25"/>
  <c r="I25" s="1"/>
  <c r="H23"/>
  <c r="I23" s="1"/>
  <c r="E33" i="117"/>
  <c r="G33" s="1"/>
  <c r="E31"/>
  <c r="G31" s="1"/>
  <c r="E29"/>
  <c r="G29" s="1"/>
  <c r="E27"/>
  <c r="G27" s="1"/>
  <c r="E25"/>
  <c r="G25" s="1"/>
  <c r="E23"/>
  <c r="G23" s="1"/>
  <c r="H32" i="126"/>
  <c r="I32" s="1"/>
  <c r="D31"/>
  <c r="C30"/>
  <c r="H28"/>
  <c r="I28" s="1"/>
  <c r="D27"/>
  <c r="C24"/>
  <c r="H36" i="64"/>
  <c r="I36" s="1"/>
  <c r="H34"/>
  <c r="I34" s="1"/>
  <c r="H30"/>
  <c r="I30" s="1"/>
  <c r="H31" i="126"/>
  <c r="I31" s="1"/>
  <c r="D30"/>
  <c r="C29"/>
  <c r="H27"/>
  <c r="I27" s="1"/>
  <c r="D24"/>
  <c r="C23"/>
  <c r="I38" i="64" l="1"/>
  <c r="E39" s="1"/>
  <c r="I34" i="51"/>
  <c r="E35" s="1"/>
  <c r="E48" s="1"/>
  <c r="E33" i="118"/>
  <c r="E46" s="1"/>
  <c r="I46" s="1"/>
  <c r="I47" s="1"/>
  <c r="I34" i="130"/>
  <c r="I49" s="1"/>
  <c r="G34" i="117"/>
  <c r="G49" s="1"/>
  <c r="E33" i="126"/>
  <c r="F16" i="62" l="1"/>
  <c r="G16" s="1"/>
  <c r="I48" i="51"/>
  <c r="I49" s="1"/>
  <c r="I33" i="118"/>
  <c r="I34" s="1"/>
  <c r="I49" s="1"/>
  <c r="I35" i="51"/>
  <c r="I36" s="1"/>
  <c r="I39" i="64"/>
  <c r="I40" s="1"/>
  <c r="E52"/>
  <c r="I52" s="1"/>
  <c r="I53" s="1"/>
  <c r="I33" i="126"/>
  <c r="I34" s="1"/>
  <c r="E46"/>
  <c r="I46" s="1"/>
  <c r="I47" s="1"/>
  <c r="I51" i="51" l="1"/>
  <c r="F10" i="247" l="1"/>
  <c r="G10" s="1"/>
  <c r="F9"/>
  <c r="G9" s="1"/>
  <c r="G42" s="1"/>
  <c r="F12" i="62"/>
  <c r="G12" s="1"/>
  <c r="F14"/>
  <c r="G14" s="1"/>
  <c r="F15"/>
  <c r="G15" s="1"/>
  <c r="F11"/>
  <c r="G11" s="1"/>
  <c r="D21" i="140"/>
  <c r="F21" s="1"/>
  <c r="D8"/>
  <c r="D19"/>
  <c r="F19" s="1"/>
  <c r="G18" i="62" l="1"/>
  <c r="F25"/>
  <c r="G25" s="1"/>
  <c r="G27" s="1"/>
  <c r="F8" i="140"/>
  <c r="F8" i="164"/>
  <c r="G8" s="1"/>
  <c r="H12" i="126"/>
  <c r="I12" s="1"/>
  <c r="I21" s="1"/>
  <c r="I49" s="1"/>
  <c r="I27" i="64"/>
  <c r="I55" s="1"/>
  <c r="G35" i="62" l="1"/>
  <c r="F82"/>
  <c r="F86" s="1"/>
  <c r="H60" i="64" l="1"/>
  <c r="H56" i="51"/>
  <c r="I56"/>
  <c r="E93" i="62"/>
  <c r="I60" i="64"/>
  <c r="G54" i="117"/>
  <c r="I54" i="130"/>
  <c r="I54" i="126"/>
  <c r="I55" i="118" l="1"/>
  <c r="I59" l="1"/>
  <c r="I61" s="1"/>
  <c r="I64" l="1"/>
  <c r="H59" i="64"/>
  <c r="H55" i="51"/>
  <c r="I53" i="126"/>
  <c r="I55" s="1"/>
  <c r="I58" s="1"/>
  <c r="I59" s="1"/>
  <c r="G53" i="117"/>
  <c r="G55" s="1"/>
  <c r="I53" i="130"/>
  <c r="I55" s="1"/>
  <c r="I55" i="51"/>
  <c r="I57" s="1"/>
  <c r="I59" i="64"/>
  <c r="I61" s="1"/>
  <c r="I64" s="1"/>
  <c r="I65" s="1"/>
  <c r="G58" i="117" l="1"/>
  <c r="G59" s="1"/>
  <c r="G61" s="1"/>
  <c r="G64" s="1"/>
  <c r="I60" i="51"/>
  <c r="I61" s="1"/>
  <c r="I63" s="1"/>
  <c r="I66" s="1"/>
  <c r="I58" i="130"/>
  <c r="I59" s="1"/>
  <c r="I61" s="1"/>
  <c r="I64" s="1"/>
  <c r="I67" i="64"/>
  <c r="I70" s="1"/>
  <c r="I61" i="126"/>
  <c r="I64" s="1"/>
  <c r="H25" i="62" l="1"/>
  <c r="I25" s="1"/>
  <c r="H27" s="1"/>
  <c r="H15"/>
  <c r="I15" s="1"/>
  <c r="H16"/>
  <c r="I16" s="1"/>
  <c r="H12"/>
  <c r="I12" s="1"/>
  <c r="H14"/>
  <c r="I14" s="1"/>
  <c r="H11"/>
  <c r="I11" s="1"/>
  <c r="D22" i="140"/>
  <c r="F22" s="1"/>
  <c r="D11"/>
  <c r="F9" i="164" s="1"/>
  <c r="G9" s="1"/>
  <c r="D12" i="140"/>
  <c r="F13" i="164" s="1"/>
  <c r="G13" s="1"/>
  <c r="D13" i="140"/>
  <c r="F11" i="164" s="1"/>
  <c r="G11" s="1"/>
  <c r="D10" i="140"/>
  <c r="F10" i="164" s="1"/>
  <c r="G10" s="1"/>
  <c r="H18" i="62" l="1"/>
  <c r="I33" s="1"/>
  <c r="H34" s="1"/>
  <c r="H35" s="1"/>
  <c r="F10" i="140"/>
  <c r="F12"/>
  <c r="F13"/>
  <c r="F11"/>
  <c r="F23" l="1"/>
  <c r="D69" i="62" l="1"/>
  <c r="D73" l="1"/>
  <c r="D68"/>
  <c r="F68" s="1"/>
  <c r="D80" l="1"/>
  <c r="D81" s="1"/>
  <c r="F80"/>
  <c r="F84"/>
  <c r="H86" l="1"/>
  <c r="F85"/>
  <c r="F91" s="1"/>
  <c r="C17"/>
</calcChain>
</file>

<file path=xl/sharedStrings.xml><?xml version="1.0" encoding="utf-8"?>
<sst xmlns="http://schemas.openxmlformats.org/spreadsheetml/2006/main" count="900" uniqueCount="327">
  <si>
    <t>DIRECTO</t>
  </si>
  <si>
    <t>COD</t>
  </si>
  <si>
    <t>No.</t>
  </si>
  <si>
    <t>DESCRIPCION</t>
  </si>
  <si>
    <t>UNIDAD</t>
  </si>
  <si>
    <t>CANTIDAD</t>
  </si>
  <si>
    <t>TOTAL</t>
  </si>
  <si>
    <t>M3</t>
  </si>
  <si>
    <t>ML</t>
  </si>
  <si>
    <t>MATERIALES</t>
  </si>
  <si>
    <t>INDIRECTOS</t>
  </si>
  <si>
    <t>VIGILANTES</t>
  </si>
  <si>
    <t>CASAS</t>
  </si>
  <si>
    <t>VEHICULOS</t>
  </si>
  <si>
    <t>ROTULO</t>
  </si>
  <si>
    <t>SUB TOTAL</t>
  </si>
  <si>
    <t>UTILIDAD</t>
  </si>
  <si>
    <t>FACTOR =</t>
  </si>
  <si>
    <t>RESUMEN DE HOJAS DE COSTO UNITARIO</t>
  </si>
  <si>
    <t>COSTO</t>
  </si>
  <si>
    <t>CÓDIGO</t>
  </si>
  <si>
    <t>DESCRIPCIÓN</t>
  </si>
  <si>
    <t>U/M</t>
  </si>
  <si>
    <t>UNITARIO</t>
  </si>
  <si>
    <t>LISTADO DE PRESUPUESTOS</t>
  </si>
  <si>
    <t>CODIGO</t>
  </si>
  <si>
    <t>PRECIO</t>
  </si>
  <si>
    <t>Agua</t>
  </si>
  <si>
    <t>Sub Total Materiales</t>
  </si>
  <si>
    <t>MANO DE OBRA</t>
  </si>
  <si>
    <t>Sub Total Mano de Obra</t>
  </si>
  <si>
    <t>EQUIPO Y HERRAMIENTAS</t>
  </si>
  <si>
    <t>Sub Total Maquinaria</t>
  </si>
  <si>
    <t>INGENIERO I</t>
  </si>
  <si>
    <t>Mortero 1:3</t>
  </si>
  <si>
    <t>PRUEBAS DE LABORATORIO</t>
  </si>
  <si>
    <t>%</t>
  </si>
  <si>
    <t>Piedra</t>
  </si>
  <si>
    <t>Global</t>
  </si>
  <si>
    <t>CELAQUE</t>
  </si>
  <si>
    <t>Constructora CELAQUE S. de R.L.</t>
  </si>
  <si>
    <t>Tarjeta de Costos</t>
  </si>
  <si>
    <t>CONSTRUCTORA CELAQUE S. de R. L.</t>
  </si>
  <si>
    <t>Actividad:</t>
  </si>
  <si>
    <t>UNIDAD:</t>
  </si>
  <si>
    <t>BULTERO</t>
  </si>
  <si>
    <t>GASTOS GENERALES</t>
  </si>
  <si>
    <t>GASTOS FINANCIEROS</t>
  </si>
  <si>
    <t>FACTOR GENERAL</t>
  </si>
  <si>
    <t>FACTOR FINANCIERO</t>
  </si>
  <si>
    <t>GASTOS GENERALES Y ADMINISTRATIVOS</t>
  </si>
  <si>
    <t>GASTOS GENERALES %(1+2+3)</t>
  </si>
  <si>
    <t>GASTOS FINANCIEROS %(1+2+3)</t>
  </si>
  <si>
    <t>Total Gastos Generales y Administrativos</t>
  </si>
  <si>
    <t>Total Utilidad</t>
  </si>
  <si>
    <t>TOTAL COSTOS DIRECTOS (1+2+3)</t>
  </si>
  <si>
    <t>TOTAL COSTOS INDIRECTOS (4+5)</t>
  </si>
  <si>
    <t>TOTAL PRECIO UNITARIO</t>
  </si>
  <si>
    <t>SEGUROS</t>
  </si>
  <si>
    <t>UTILIDAD %(1+2+3+4)</t>
  </si>
  <si>
    <t>SEÑALIZACION</t>
  </si>
  <si>
    <t>INGENIERO II</t>
  </si>
  <si>
    <t>ADMINISTRADOR</t>
  </si>
  <si>
    <t>LLANTERO</t>
  </si>
  <si>
    <t>TOMADOR DE TIEMPO</t>
  </si>
  <si>
    <t>OPERADORES</t>
  </si>
  <si>
    <t>COMIDA (2P+2T+1C+2V+3T+7V+1I+1C+1B+1M+1MImas 2 inspectores)</t>
  </si>
  <si>
    <t>tractor</t>
  </si>
  <si>
    <t>patrol</t>
  </si>
  <si>
    <t>vibro</t>
  </si>
  <si>
    <t>tanque</t>
  </si>
  <si>
    <t>canecha</t>
  </si>
  <si>
    <t>lowboy</t>
  </si>
  <si>
    <t>carros</t>
  </si>
  <si>
    <t>volquetas</t>
  </si>
  <si>
    <t>cargadora</t>
  </si>
  <si>
    <t>PRODUCTIV.</t>
  </si>
  <si>
    <t>INPRODUCTIVO</t>
  </si>
  <si>
    <t>mecanico1</t>
  </si>
  <si>
    <t>ayud mecanica</t>
  </si>
  <si>
    <t>soldador</t>
  </si>
  <si>
    <t>ENCARGADO DE COMPRAS</t>
  </si>
  <si>
    <t>BULT TPMAT. BODEG</t>
  </si>
  <si>
    <t>OTROS</t>
  </si>
  <si>
    <t>MOVILIZACION INICIAL Y FINAL</t>
  </si>
  <si>
    <t>Acarreo de TCR 42" Diametro</t>
  </si>
  <si>
    <r>
      <t>M</t>
    </r>
    <r>
      <rPr>
        <b/>
        <sz val="12"/>
        <rFont val="Calibri"/>
        <family val="2"/>
      </rPr>
      <t>³</t>
    </r>
  </si>
  <si>
    <t>ML - KM</t>
  </si>
  <si>
    <t>Instalacion de T.C.R. 42" Diametro  (Tipo III)</t>
  </si>
  <si>
    <t>XXXXXXXX</t>
  </si>
  <si>
    <t>FICHA DE COSTOS</t>
  </si>
  <si>
    <t>G.Ejecucion:</t>
  </si>
  <si>
    <t>Arena Comun</t>
  </si>
  <si>
    <t>Madera</t>
  </si>
  <si>
    <t>PTB</t>
  </si>
  <si>
    <t>Total Materiales</t>
  </si>
  <si>
    <t>Total Mano de Obra</t>
  </si>
  <si>
    <t>ANALISIS DE PRECIO UNITARIO</t>
  </si>
  <si>
    <t>EQUIPO, MAQUINARIA Y HERRAMIENTAS</t>
  </si>
  <si>
    <t>GASTOS GENERALES %</t>
  </si>
  <si>
    <t>GASTOS FINANCIEROS %</t>
  </si>
  <si>
    <t>UTILIDAD %</t>
  </si>
  <si>
    <t>Total Equipo, Maquinaria y Herramientas</t>
  </si>
  <si>
    <t>LBS</t>
  </si>
  <si>
    <t>BLS</t>
  </si>
  <si>
    <t>Clavos</t>
  </si>
  <si>
    <t>G.Oferta</t>
  </si>
  <si>
    <t>G. Aticipo</t>
  </si>
  <si>
    <t>PRONTOPAFO</t>
  </si>
  <si>
    <t>Cemento</t>
  </si>
  <si>
    <t>Remoción de Derrumbes</t>
  </si>
  <si>
    <t>2012-2013</t>
  </si>
  <si>
    <t>Unidad:</t>
  </si>
  <si>
    <t>Cantidad:</t>
  </si>
  <si>
    <t>excavadora</t>
  </si>
  <si>
    <t>Gal</t>
  </si>
  <si>
    <t>el cabezal de 30 tiene 3mts de ancho x 1.74 mts de alto, transformados son 10´ y 68",  madera=(1"x69"x10´)/12=57.5 pt   son 4 usos seria 57.5/4=14.375 pt para un cabezal completo, para 1 m3 se debe dividir entre el volumen del cabezal que es 2.671m3,   =14.375/2.671= 5.382 pt</t>
  </si>
  <si>
    <t>Libra y media para un cabezal completo = 1.5/2.671=0.562 Lbs</t>
  </si>
  <si>
    <t xml:space="preserve">se lleva 4 o 5 bolsas para un m3   pero usaremos 5 bolsas </t>
  </si>
  <si>
    <t>3 veces el cemento =(5x3)/35.31467=0.4248 m3</t>
  </si>
  <si>
    <t>1/2 del cemento =((2.5/35.31467)*1000)/3.7853</t>
  </si>
  <si>
    <t xml:space="preserve">1 albañil con 2 ayudantes se hacen un cabezal de 24"en un dia, vol del cabezal es 1.606m3  entonces 8/1.606=4.981 hr, pero este rendimiento es haciendo excavacion y mezcla asi que se le bajo una hora a cada </t>
  </si>
  <si>
    <t>en 1 hr se mezclan  20 bolsas  y un m3 son 5 bolsas, se hace regla de tres.</t>
  </si>
  <si>
    <t>UNITARIO (L)</t>
  </si>
  <si>
    <t>COSTO TOTAL (L)
(LPS)</t>
  </si>
  <si>
    <t>PRECIO UNITARIO (LPS)</t>
  </si>
  <si>
    <r>
      <t>M</t>
    </r>
    <r>
      <rPr>
        <b/>
        <sz val="16"/>
        <color rgb="FFFF0000"/>
        <rFont val="Calibri"/>
        <family val="2"/>
      </rPr>
      <t>³</t>
    </r>
  </si>
  <si>
    <t>GLB</t>
  </si>
  <si>
    <t>Costos Indirectos</t>
  </si>
  <si>
    <t>Patrolero</t>
  </si>
  <si>
    <t>Volqueteros</t>
  </si>
  <si>
    <t>Tractorista</t>
  </si>
  <si>
    <t>op Retroexcavadora</t>
  </si>
  <si>
    <t>op Cargadora</t>
  </si>
  <si>
    <t>Mecanico</t>
  </si>
  <si>
    <t>Soldador</t>
  </si>
  <si>
    <t>Op de Vibro</t>
  </si>
  <si>
    <t>Ingeniero</t>
  </si>
  <si>
    <t>Vigilante</t>
  </si>
  <si>
    <t>Casa</t>
  </si>
  <si>
    <t>Comida</t>
  </si>
  <si>
    <t>Alquiler de Vehiculos</t>
  </si>
  <si>
    <t>Movilizacion</t>
  </si>
  <si>
    <t>fianzas</t>
  </si>
  <si>
    <t>Oficina Central</t>
  </si>
  <si>
    <t>Tubería PVC 3" diám.</t>
  </si>
  <si>
    <t>Cadenero</t>
  </si>
  <si>
    <t>Topografo</t>
  </si>
  <si>
    <t>en el adendum 2 dicen incluir mejoramiento y perfilado de cunetas, se incluyo 2 horas para hacer un Km 0.00242hr</t>
  </si>
  <si>
    <t>Grava de Rio</t>
  </si>
  <si>
    <t xml:space="preserve">DESCRIPCIÓN </t>
  </si>
  <si>
    <t xml:space="preserve">
 UNIDAD</t>
  </si>
  <si>
    <t>CONCRETO DE 210 KG/CM</t>
  </si>
  <si>
    <t>CORTADO DE CONCRETO</t>
  </si>
  <si>
    <t>SEÑALES HORIZONTALES (LINEA CENTRAL O LATERAL)</t>
  </si>
  <si>
    <t>PINTURA DE BORDILLO</t>
  </si>
  <si>
    <t>SUMINISTRO Y SIEMBRA DE VETIVER</t>
  </si>
  <si>
    <t>M2</t>
  </si>
  <si>
    <t>ESTRUCTURA DE MAMPOSTERIA</t>
  </si>
  <si>
    <t>ROTULO BANNER 2.44 X 2.00 m. (SUM. E INST.)</t>
  </si>
  <si>
    <t>BORDILLO DE 15X15 CM</t>
  </si>
  <si>
    <t>Construcción de Pavimento Municipal, Ubicado en el Casco Urbano,
Municipio de La Labor (Cod. 104888), Departamento de Ocotepeque</t>
  </si>
  <si>
    <t>Estacion Total</t>
  </si>
  <si>
    <t>cortadora</t>
  </si>
  <si>
    <t>mano de obra</t>
  </si>
  <si>
    <t>Disco</t>
  </si>
  <si>
    <t>gasolina</t>
  </si>
  <si>
    <t>vibro/retro</t>
  </si>
  <si>
    <t>topografia</t>
  </si>
  <si>
    <t>G.cumplimiento</t>
  </si>
  <si>
    <t>Calidad</t>
  </si>
  <si>
    <t>Oficina central</t>
  </si>
  <si>
    <t>impuestos municipales</t>
  </si>
  <si>
    <t>impuesto sobre la renta</t>
  </si>
  <si>
    <t>capataz</t>
  </si>
  <si>
    <t>Material</t>
  </si>
  <si>
    <t>Rendimiento</t>
  </si>
  <si>
    <t>Cantidad</t>
  </si>
  <si>
    <t>Total</t>
  </si>
  <si>
    <t>Actividad</t>
  </si>
  <si>
    <t>Etiquetas de fila</t>
  </si>
  <si>
    <t>Total general</t>
  </si>
  <si>
    <t>Suma de Total</t>
  </si>
  <si>
    <t>Etiquetas de columna</t>
  </si>
  <si>
    <t>Aporte Comunitario</t>
  </si>
  <si>
    <t>diferecia</t>
  </si>
  <si>
    <t>BORDILLO DE 15X5 CM</t>
  </si>
  <si>
    <t>M.L.</t>
  </si>
  <si>
    <t>UND</t>
  </si>
  <si>
    <t>SEÑAL DE INFORMACIÓN GENERAL 2.40 x 0.40 M</t>
  </si>
  <si>
    <t>MEDIDA DE COMUNICACIÓN</t>
  </si>
  <si>
    <t>MEDIDA DE SEÑALIZACIÓN</t>
  </si>
  <si>
    <t>CAPACITACIÓN AL COMITÉ DE MANTENIMIENTO VIAL</t>
  </si>
  <si>
    <t>Unidad</t>
  </si>
  <si>
    <t>DESGLOSE DE PRECIOS UNITARIOS</t>
  </si>
  <si>
    <t>HERRAMIENTAS Y EQUIPO</t>
  </si>
  <si>
    <t>CARGADORA 930 O SIMILAR</t>
  </si>
  <si>
    <t>HRA</t>
  </si>
  <si>
    <t>CARGADORA FRONTAL DE RUEDA</t>
  </si>
  <si>
    <t>CISTERNA</t>
  </si>
  <si>
    <t>COMPACTADORA DE PLATO</t>
  </si>
  <si>
    <t>COMPACTADORA DE RODILLO</t>
  </si>
  <si>
    <t>MOTONIVELADORA</t>
  </si>
  <si>
    <t>RETROEXCAVADORA DE LLANTA</t>
  </si>
  <si>
    <t>TANQUE CISTERNA</t>
  </si>
  <si>
    <t>TRACTOR DE ORUGA D6D</t>
  </si>
  <si>
    <t>VIBRO-COMPACTADORA</t>
  </si>
  <si>
    <t>VOLQUETA DE 10 M3</t>
  </si>
  <si>
    <t>MEZCLADORA</t>
  </si>
  <si>
    <t>MATERIALES IMPORTADOS</t>
  </si>
  <si>
    <t>CEMENTO BLANCO</t>
  </si>
  <si>
    <t>BOLSA</t>
  </si>
  <si>
    <t>MALLA PARA GAVION DE 1X1X2 MTS./CON ALAMBRE GALV.</t>
  </si>
  <si>
    <t>PERNO DE 3 1/2"X1/4"</t>
  </si>
  <si>
    <t>TUERCA DE 1/4"</t>
  </si>
  <si>
    <t>ARANDELA DE 1/4"</t>
  </si>
  <si>
    <t>BROCHA DE 2"</t>
  </si>
  <si>
    <t>TUBO DE HG DE 3"x20´ LIVIANO</t>
  </si>
  <si>
    <t>LANCE</t>
  </si>
  <si>
    <t>TUBO INDUSTRIAL DE 1X1X20´</t>
  </si>
  <si>
    <t>TUBO ESTRUCTURAL 3"X3"X20´</t>
  </si>
  <si>
    <t>PINTURA DE ACEITE</t>
  </si>
  <si>
    <t>GLN</t>
  </si>
  <si>
    <t>PINTURA ANTICORROSIVA</t>
  </si>
  <si>
    <t>DILUYENTE</t>
  </si>
  <si>
    <t>VETIVER (10 MACOLLAS DE 8 ACES C/U)</t>
  </si>
  <si>
    <t>SEÑAL INFORMATIVA DE 2.40X0.40m C/POSTE</t>
  </si>
  <si>
    <t>MATERIALES NACIONALES</t>
  </si>
  <si>
    <t>CEMENTO GRIS TIPO PORTLAND</t>
  </si>
  <si>
    <t>ABONO 12-24-12</t>
  </si>
  <si>
    <t>ARENA DE RIO LAVADA</t>
  </si>
  <si>
    <t>ARENA DE RIO</t>
  </si>
  <si>
    <t xml:space="preserve">   </t>
  </si>
  <si>
    <t>SACO</t>
  </si>
  <si>
    <t xml:space="preserve">GRAVA DE RIO </t>
  </si>
  <si>
    <t>MATERIAL TRITURADO</t>
  </si>
  <si>
    <t>PIEDRA DE RIO</t>
  </si>
  <si>
    <t>PIEDRA RIPION</t>
  </si>
  <si>
    <t>AGUA</t>
  </si>
  <si>
    <t>ALAMBRE DE AMARRE</t>
  </si>
  <si>
    <t>VARILLA DE HIER. CORRUG. DE 3/8"X30´ LEG</t>
  </si>
  <si>
    <t>VARILLA DE HIERRO LISA DE 1/4"X30´ LEGITIMA</t>
  </si>
  <si>
    <t>LAMINA DE HIERRO DE 4´X8´X3/16"</t>
  </si>
  <si>
    <t>CLAVOS</t>
  </si>
  <si>
    <t>CLAVOS DE 2" A 4"</t>
  </si>
  <si>
    <t>TUBO DE PVC DE 3" X 20´ RD-41</t>
  </si>
  <si>
    <t>TUBO DE PVC DE 4" X 20´ RD-41</t>
  </si>
  <si>
    <t>TUBO DE CONCRETO REFORZADO DE 24"</t>
  </si>
  <si>
    <t>TUBO DE CONCRETO REFORZADO DE 36"</t>
  </si>
  <si>
    <t>TUBO DE CONCRETO REFORZADO DE 30"</t>
  </si>
  <si>
    <t>MADERA RUSTICA DE PINO</t>
  </si>
  <si>
    <t>LB</t>
  </si>
  <si>
    <t>PIE T</t>
  </si>
  <si>
    <t>TELA DE MANTA 60"</t>
  </si>
  <si>
    <t>PLASTICO A=2.00 M</t>
  </si>
  <si>
    <t>RÓTULO BANNER 2.44X2.00 m</t>
  </si>
  <si>
    <t>ADMINISTRACIÓN DELEGADA</t>
  </si>
  <si>
    <t>YARDA</t>
  </si>
  <si>
    <t>ALBAÑIL</t>
  </si>
  <si>
    <t>ARMADOR DE HIERRO</t>
  </si>
  <si>
    <t>CAPATAZ</t>
  </si>
  <si>
    <t>TOPOGRAFO</t>
  </si>
  <si>
    <t>JDR</t>
  </si>
  <si>
    <t>MANO DE OBRA CALIFICADA</t>
  </si>
  <si>
    <t>MANO DE OBRA NO CALIFICADA</t>
  </si>
  <si>
    <t>AYUDANTE</t>
  </si>
  <si>
    <t>CADENERO</t>
  </si>
  <si>
    <t>PEON</t>
  </si>
  <si>
    <t>hay que dar mantenimiento por 2 meses</t>
  </si>
  <si>
    <t>ANEXO III</t>
  </si>
  <si>
    <t>CUADRO DE CANTIDADES DE OBRA ESTIMADAS</t>
  </si>
  <si>
    <t>CUADRO DE CANTIDADES ESTIMADAS</t>
  </si>
  <si>
    <t>PROYECTO: COSECHAS DE AGUA Y SISTEMA DE RIEGO EN EL CORREDOR SECO DEL PAÍS</t>
  </si>
  <si>
    <t>Concepto</t>
  </si>
  <si>
    <t>P.U 
(L)</t>
  </si>
  <si>
    <t>TOTAL
(L)</t>
  </si>
  <si>
    <t xml:space="preserve">  OBRA CIVIL</t>
  </si>
  <si>
    <t>m2</t>
  </si>
  <si>
    <t>ml</t>
  </si>
  <si>
    <t>Sub Total</t>
  </si>
  <si>
    <t xml:space="preserve">  Obras Complementarias (incluye Pantalla Derivación/Canal de Conducción, Desarenador, Parrilla, Vertedero)</t>
  </si>
  <si>
    <t xml:space="preserve">  SISTEMA DE RIEGO</t>
  </si>
  <si>
    <t>Gran Total</t>
  </si>
  <si>
    <t>Volquetas/tanque</t>
  </si>
  <si>
    <t>Milereo</t>
  </si>
  <si>
    <t>Vehiculo 2</t>
  </si>
  <si>
    <t>Garantia Cumplimiento</t>
  </si>
  <si>
    <t>Garantia Calidad</t>
  </si>
  <si>
    <t>Oficina</t>
  </si>
  <si>
    <t>m3</t>
  </si>
  <si>
    <t>CANTIDADES DE OBRA</t>
  </si>
  <si>
    <t>PROYECTO: CALLE DE ACCESO</t>
  </si>
  <si>
    <t>UPNFM</t>
  </si>
  <si>
    <t>Conformacion de Sub-Rasante</t>
  </si>
  <si>
    <t>Excavación Común  (incluye botado material )</t>
  </si>
  <si>
    <r>
      <t xml:space="preserve">Tuberia para Aguas Lluvias </t>
    </r>
    <r>
      <rPr>
        <sz val="11"/>
        <rFont val="Calibri"/>
        <family val="2"/>
      </rPr>
      <t>Ø</t>
    </r>
    <r>
      <rPr>
        <sz val="11"/>
        <rFont val="Arial"/>
        <family val="2"/>
      </rPr>
      <t xml:space="preserve"> 10" SDR-26</t>
    </r>
  </si>
  <si>
    <t>Conexión de Tuberia de  Ø  12" a Pozo existente</t>
  </si>
  <si>
    <t>Bordillo (Según Detalle)</t>
  </si>
  <si>
    <t>Zapata Corrida en Muro de Concreto Armado, Concreto de 3000 psi,e= 25 cms, ancho= 40 cms, 3#3 corridas y #3@15 cms</t>
  </si>
  <si>
    <t>Yee PVC DE 12"X8"(Suministro/Instalacion)</t>
  </si>
  <si>
    <t>Demoliciones y corte de arboles (incluye cargado y botado)</t>
  </si>
  <si>
    <r>
      <t xml:space="preserve">Tuberia para Aguas Lluvias </t>
    </r>
    <r>
      <rPr>
        <sz val="11"/>
        <rFont val="Calibri"/>
        <family val="2"/>
      </rPr>
      <t>Ø</t>
    </r>
    <r>
      <rPr>
        <sz val="11"/>
        <rFont val="Arial"/>
        <family val="2"/>
      </rPr>
      <t xml:space="preserve"> 24" ASTM F949</t>
    </r>
  </si>
  <si>
    <t>Tuberia para Aguas Negras Ø 8 ASTM F949</t>
  </si>
  <si>
    <t>Tuberia para Aguas Negras Ø 12 ASTM F949</t>
  </si>
  <si>
    <t>Pozos para aguas negras (ver planos)</t>
  </si>
  <si>
    <t>Cajas para Aguas Negras (ver planos)</t>
  </si>
  <si>
    <t>Relleno con Material Selecto</t>
  </si>
  <si>
    <t>Zapata Corrida para Gradas, fc´3000 psi, 0.60x0.25 mts. 8#3, #3@15cms</t>
  </si>
  <si>
    <t>Viga para Gradas, f´c 3000 psi, 0.20x0.40 mts. 6#3, #3@15 cms</t>
  </si>
  <si>
    <t>Gradas acabado gradineado, f´c 3000 psi, e=15 cms, #3@10 cms A/S</t>
  </si>
  <si>
    <t>Pasamanos Metalico de tubo redondo de 2" y 1 1/2"</t>
  </si>
  <si>
    <t xml:space="preserve">Acera de 10 cms de espesor, f´c 3000 psi, Armada #4@10 cms A/S (Según Detalle, sobre cuneta de bloque), </t>
  </si>
  <si>
    <t>Acera de 10 cms de espesor , f´c 3000 psi</t>
  </si>
  <si>
    <t>Excavacion para Muro, Red de Aguas Negras y Aguas Lluvias</t>
  </si>
  <si>
    <t>Zapata Corrida en Muro de bloque fundido, Concreto de 3000 psi,e= 25 cms, ancho= 60 cms, 4#3 corridas y #3@15 cms</t>
  </si>
  <si>
    <t>Conexión de Tuberia de  Ø  24" a Tragante existente</t>
  </si>
  <si>
    <t>Pavimento de Concreto de 4000 psi, e=15 cms, corte de lozas a cada 1.5 mts, sello de aplicación en caliente con cordon de respaldo.</t>
  </si>
  <si>
    <t>Muro de Concreto Armado, Concreto de 3000 psi, e=20 cms, #4@20 cms A/S, acabado liso</t>
  </si>
  <si>
    <t>Muro de bloque Fundido de 8" Sisado, concreto de 3000 psi, refuerzo vertical #4 a cada agujero y horizontal #3 a cada 20 cms.</t>
  </si>
  <si>
    <t>Cuneta de bloque de 6" (Según Detalle), repellada y pulida</t>
  </si>
  <si>
    <t>Tragantes (Según Detalle), repellados y pulidos</t>
  </si>
  <si>
    <t>Cajas de aguas Lluvias (ver Planos), repelladas y pulidas</t>
  </si>
  <si>
    <t>Relleno con Material del Sitio</t>
  </si>
  <si>
    <t>Reductor de Velocidad, tipo Tumulo de Hule, con cinta reflectiva, para trafico liviano</t>
  </si>
  <si>
    <r>
      <t xml:space="preserve">Drenaje frances, tubo PVC </t>
    </r>
    <r>
      <rPr>
        <sz val="11"/>
        <rFont val="Calibri"/>
        <family val="2"/>
      </rPr>
      <t>Ø</t>
    </r>
    <r>
      <rPr>
        <sz val="10"/>
        <rFont val="Arial"/>
        <family val="2"/>
      </rPr>
      <t>6", geotextil , grava de 1"</t>
    </r>
  </si>
  <si>
    <t>Solera de Cierre de Muro de 20 cmx20 cm, 4#4 y #3@15 cms, concreto 3000 psi.</t>
  </si>
  <si>
    <t>ANEXO I</t>
  </si>
</sst>
</file>

<file path=xl/styles.xml><?xml version="1.0" encoding="utf-8"?>
<styleSheet xmlns="http://schemas.openxmlformats.org/spreadsheetml/2006/main">
  <numFmts count="12"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_(* #,##0.00000_);_(* \(#,##0.00000\);_(* &quot;-&quot;??_);_(@_)"/>
    <numFmt numFmtId="168" formatCode="#,##0.000"/>
    <numFmt numFmtId="169" formatCode="#,##0.0000"/>
    <numFmt numFmtId="170" formatCode="#,##0.000000"/>
    <numFmt numFmtId="171" formatCode="#,##0.00000"/>
    <numFmt numFmtId="172" formatCode="_(* #,##0.000000_);_(* \(#,##0.000000\);_(* &quot;-&quot;??_);_(@_)"/>
    <numFmt numFmtId="173" formatCode="#,##0.00_ ;[Red]\-#,##0.00\ "/>
    <numFmt numFmtId="174" formatCode="#,##0.0000000000000_ ;[Red]\-#,##0.0000000000000\ "/>
    <numFmt numFmtId="175" formatCode="#,##0.0"/>
  </numFmts>
  <fonts count="49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6"/>
      <name val="Times New Roman"/>
      <family val="1"/>
    </font>
    <font>
      <i/>
      <sz val="12"/>
      <name val="Times New Roman"/>
      <family val="1"/>
    </font>
    <font>
      <b/>
      <sz val="16"/>
      <color indexed="10"/>
      <name val="Times New Roman"/>
      <family val="1"/>
    </font>
    <font>
      <b/>
      <i/>
      <sz val="15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6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i/>
      <sz val="10"/>
      <name val="Times New Roman"/>
      <family val="1"/>
    </font>
    <font>
      <sz val="10"/>
      <color indexed="10"/>
      <name val="Arial"/>
      <family val="2"/>
    </font>
    <font>
      <sz val="8"/>
      <color indexed="10"/>
      <name val="Arial"/>
      <family val="2"/>
    </font>
    <font>
      <sz val="6"/>
      <color indexed="10"/>
      <name val="Arial"/>
      <family val="2"/>
    </font>
    <font>
      <b/>
      <sz val="10"/>
      <color indexed="10"/>
      <name val="Arial"/>
      <family val="2"/>
    </font>
    <font>
      <sz val="12"/>
      <color rgb="FFFF0000"/>
      <name val="Times New Roman"/>
      <family val="1"/>
    </font>
    <font>
      <sz val="12"/>
      <color theme="1"/>
      <name val="Times New Roman"/>
      <family val="1"/>
    </font>
    <font>
      <sz val="11"/>
      <name val="Times New Roman"/>
      <family val="1"/>
    </font>
    <font>
      <b/>
      <sz val="12"/>
      <name val="Calibri"/>
      <family val="2"/>
    </font>
    <font>
      <b/>
      <i/>
      <sz val="14"/>
      <name val="Times New Roman"/>
      <family val="1"/>
    </font>
    <font>
      <sz val="11"/>
      <color theme="0"/>
      <name val="Calibri"/>
      <family val="2"/>
      <scheme val="minor"/>
    </font>
    <font>
      <sz val="12"/>
      <color theme="0"/>
      <name val="Times New Roman"/>
      <family val="1"/>
    </font>
    <font>
      <sz val="8"/>
      <color rgb="FFFF0000"/>
      <name val="Arial"/>
      <family val="2"/>
    </font>
    <font>
      <b/>
      <sz val="16"/>
      <color rgb="FFFF0000"/>
      <name val="Times New Roman"/>
      <family val="1"/>
    </font>
    <font>
      <b/>
      <sz val="16"/>
      <color rgb="FFFF0000"/>
      <name val="Calibri"/>
      <family val="2"/>
    </font>
    <font>
      <sz val="12"/>
      <name val="Calibri"/>
      <family val="2"/>
    </font>
    <font>
      <sz val="11"/>
      <name val="Calibri"/>
      <family val="2"/>
      <scheme val="minor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0"/>
      <color theme="0"/>
      <name val="Calibri"/>
      <family val="2"/>
      <scheme val="minor"/>
    </font>
    <font>
      <sz val="12"/>
      <color theme="1"/>
      <name val="Arial"/>
      <family val="2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b/>
      <sz val="16"/>
      <name val="Arial"/>
      <family val="2"/>
    </font>
    <font>
      <b/>
      <u/>
      <sz val="16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sz val="14"/>
      <name val="Calibri"/>
      <family val="2"/>
      <scheme val="minor"/>
    </font>
    <font>
      <b/>
      <sz val="13"/>
      <name val="Arial"/>
      <family val="2"/>
    </font>
    <font>
      <sz val="12"/>
      <name val="Calibri"/>
      <family val="2"/>
      <scheme val="minor"/>
    </font>
    <font>
      <sz val="1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theme="0" tint="-0.249977111117893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8" fillId="6" borderId="0" applyNumberFormat="0" applyBorder="0" applyAlignment="0" applyProtection="0"/>
  </cellStyleXfs>
  <cellXfs count="348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/>
    <xf numFmtId="0" fontId="5" fillId="0" borderId="1" xfId="0" applyFont="1" applyBorder="1"/>
    <xf numFmtId="0" fontId="5" fillId="0" borderId="0" xfId="0" applyFont="1" applyAlignment="1">
      <alignment horizontal="left"/>
    </xf>
    <xf numFmtId="166" fontId="5" fillId="0" borderId="0" xfId="2" applyNumberFormat="1" applyFont="1"/>
    <xf numFmtId="0" fontId="5" fillId="0" borderId="0" xfId="0" applyFont="1" applyBorder="1"/>
    <xf numFmtId="0" fontId="4" fillId="0" borderId="2" xfId="0" applyFont="1" applyBorder="1" applyAlignment="1">
      <alignment horizontal="center"/>
    </xf>
    <xf numFmtId="0" fontId="6" fillId="0" borderId="0" xfId="0" applyFont="1" applyAlignment="1">
      <alignment horizontal="centerContinuous"/>
    </xf>
    <xf numFmtId="4" fontId="5" fillId="0" borderId="0" xfId="0" applyNumberFormat="1" applyFont="1" applyAlignment="1">
      <alignment horizontal="right"/>
    </xf>
    <xf numFmtId="4" fontId="5" fillId="0" borderId="0" xfId="0" applyNumberFormat="1" applyFont="1"/>
    <xf numFmtId="4" fontId="4" fillId="0" borderId="0" xfId="0" applyNumberFormat="1" applyFont="1" applyAlignment="1">
      <alignment horizontal="center"/>
    </xf>
    <xf numFmtId="4" fontId="5" fillId="0" borderId="0" xfId="2" applyNumberFormat="1" applyFont="1"/>
    <xf numFmtId="4" fontId="4" fillId="0" borderId="0" xfId="2" applyNumberFormat="1" applyFont="1"/>
    <xf numFmtId="0" fontId="4" fillId="0" borderId="0" xfId="0" applyFont="1"/>
    <xf numFmtId="0" fontId="4" fillId="0" borderId="0" xfId="0" applyFont="1" applyAlignment="1">
      <alignment horizontal="left"/>
    </xf>
    <xf numFmtId="166" fontId="5" fillId="0" borderId="0" xfId="0" applyNumberFormat="1" applyFont="1"/>
    <xf numFmtId="4" fontId="5" fillId="0" borderId="0" xfId="1" applyNumberFormat="1" applyFont="1" applyAlignment="1">
      <alignment horizontal="right"/>
    </xf>
    <xf numFmtId="4" fontId="5" fillId="0" borderId="1" xfId="0" applyNumberFormat="1" applyFont="1" applyBorder="1" applyAlignment="1">
      <alignment horizontal="right"/>
    </xf>
    <xf numFmtId="4" fontId="4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5" fillId="0" borderId="0" xfId="0" applyFont="1" applyBorder="1" applyAlignment="1">
      <alignment horizontal="centerContinuous"/>
    </xf>
    <xf numFmtId="0" fontId="8" fillId="0" borderId="0" xfId="0" applyFont="1" applyAlignment="1">
      <alignment horizontal="centerContinuous"/>
    </xf>
    <xf numFmtId="0" fontId="5" fillId="0" borderId="2" xfId="0" applyFont="1" applyBorder="1"/>
    <xf numFmtId="4" fontId="5" fillId="0" borderId="2" xfId="0" applyNumberFormat="1" applyFont="1" applyBorder="1" applyAlignment="1">
      <alignment horizontal="right"/>
    </xf>
    <xf numFmtId="0" fontId="5" fillId="0" borderId="3" xfId="0" applyFont="1" applyBorder="1"/>
    <xf numFmtId="0" fontId="4" fillId="0" borderId="3" xfId="0" applyFont="1" applyBorder="1" applyAlignment="1">
      <alignment horizontal="left"/>
    </xf>
    <xf numFmtId="4" fontId="5" fillId="0" borderId="3" xfId="0" applyNumberFormat="1" applyFont="1" applyBorder="1" applyAlignment="1">
      <alignment horizontal="right"/>
    </xf>
    <xf numFmtId="166" fontId="5" fillId="0" borderId="3" xfId="2" applyNumberFormat="1" applyFont="1" applyBorder="1"/>
    <xf numFmtId="0" fontId="5" fillId="0" borderId="0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166" fontId="5" fillId="0" borderId="1" xfId="2" applyNumberFormat="1" applyFont="1" applyBorder="1"/>
    <xf numFmtId="4" fontId="4" fillId="0" borderId="1" xfId="2" applyNumberFormat="1" applyFont="1" applyBorder="1"/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/>
    <xf numFmtId="40" fontId="5" fillId="0" borderId="0" xfId="0" applyNumberFormat="1" applyFont="1" applyAlignment="1">
      <alignment horizontal="centerContinuous"/>
    </xf>
    <xf numFmtId="40" fontId="5" fillId="0" borderId="0" xfId="0" applyNumberFormat="1" applyFont="1"/>
    <xf numFmtId="40" fontId="5" fillId="0" borderId="0" xfId="0" applyNumberFormat="1" applyFont="1" applyAlignment="1">
      <alignment horizontal="left"/>
    </xf>
    <xf numFmtId="40" fontId="5" fillId="0" borderId="1" xfId="0" applyNumberFormat="1" applyFont="1" applyBorder="1" applyAlignment="1">
      <alignment horizontal="left"/>
    </xf>
    <xf numFmtId="40" fontId="5" fillId="0" borderId="1" xfId="0" applyNumberFormat="1" applyFont="1" applyBorder="1"/>
    <xf numFmtId="40" fontId="5" fillId="0" borderId="1" xfId="0" applyNumberFormat="1" applyFont="1" applyBorder="1" applyAlignment="1">
      <alignment horizontal="right"/>
    </xf>
    <xf numFmtId="40" fontId="4" fillId="0" borderId="0" xfId="0" applyNumberFormat="1" applyFont="1"/>
    <xf numFmtId="40" fontId="4" fillId="0" borderId="0" xfId="0" applyNumberFormat="1" applyFont="1" applyAlignment="1">
      <alignment horizontal="center"/>
    </xf>
    <xf numFmtId="40" fontId="5" fillId="0" borderId="0" xfId="0" applyNumberFormat="1" applyFont="1" applyAlignment="1">
      <alignment horizontal="right"/>
    </xf>
    <xf numFmtId="40" fontId="4" fillId="0" borderId="2" xfId="0" applyNumberFormat="1" applyFont="1" applyBorder="1" applyAlignment="1">
      <alignment horizontal="center"/>
    </xf>
    <xf numFmtId="40" fontId="7" fillId="0" borderId="0" xfId="0" applyNumberFormat="1" applyFont="1" applyAlignment="1">
      <alignment horizontal="left"/>
    </xf>
    <xf numFmtId="40" fontId="5" fillId="0" borderId="0" xfId="0" applyNumberFormat="1" applyFont="1" applyAlignment="1">
      <alignment horizontal="center"/>
    </xf>
    <xf numFmtId="40" fontId="5" fillId="0" borderId="0" xfId="2" applyNumberFormat="1" applyFont="1"/>
    <xf numFmtId="40" fontId="4" fillId="0" borderId="3" xfId="0" applyNumberFormat="1" applyFont="1" applyBorder="1" applyAlignment="1">
      <alignment horizontal="left"/>
    </xf>
    <xf numFmtId="40" fontId="5" fillId="0" borderId="3" xfId="0" applyNumberFormat="1" applyFont="1" applyBorder="1"/>
    <xf numFmtId="40" fontId="5" fillId="0" borderId="3" xfId="0" applyNumberFormat="1" applyFont="1" applyBorder="1" applyAlignment="1">
      <alignment horizontal="right"/>
    </xf>
    <xf numFmtId="40" fontId="5" fillId="0" borderId="3" xfId="2" applyNumberFormat="1" applyFont="1" applyBorder="1"/>
    <xf numFmtId="40" fontId="5" fillId="0" borderId="2" xfId="0" applyNumberFormat="1" applyFont="1" applyBorder="1" applyAlignment="1">
      <alignment horizontal="left"/>
    </xf>
    <xf numFmtId="40" fontId="5" fillId="0" borderId="2" xfId="0" applyNumberFormat="1" applyFont="1" applyBorder="1" applyAlignment="1">
      <alignment horizontal="center"/>
    </xf>
    <xf numFmtId="40" fontId="4" fillId="0" borderId="0" xfId="2" applyNumberFormat="1" applyFont="1"/>
    <xf numFmtId="0" fontId="10" fillId="0" borderId="0" xfId="0" applyFont="1" applyAlignment="1">
      <alignment horizontal="center"/>
    </xf>
    <xf numFmtId="1" fontId="5" fillId="0" borderId="0" xfId="1" applyNumberFormat="1" applyFont="1" applyAlignment="1">
      <alignment horizontal="right"/>
    </xf>
    <xf numFmtId="39" fontId="5" fillId="0" borderId="0" xfId="1" applyNumberFormat="1" applyFont="1" applyAlignment="1">
      <alignment horizontal="centerContinuous"/>
    </xf>
    <xf numFmtId="39" fontId="5" fillId="0" borderId="1" xfId="1" applyNumberFormat="1" applyFont="1" applyBorder="1"/>
    <xf numFmtId="39" fontId="4" fillId="0" borderId="0" xfId="1" applyNumberFormat="1" applyFont="1" applyAlignment="1">
      <alignment horizontal="center"/>
    </xf>
    <xf numFmtId="39" fontId="4" fillId="0" borderId="2" xfId="1" applyNumberFormat="1" applyFont="1" applyBorder="1" applyAlignment="1">
      <alignment horizontal="center"/>
    </xf>
    <xf numFmtId="39" fontId="5" fillId="0" borderId="0" xfId="1" applyNumberFormat="1" applyFont="1"/>
    <xf numFmtId="40" fontId="5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centerContinuous"/>
    </xf>
    <xf numFmtId="0" fontId="9" fillId="0" borderId="0" xfId="0" applyFont="1" applyAlignment="1">
      <alignment horizontal="centerContinuous"/>
    </xf>
    <xf numFmtId="167" fontId="5" fillId="0" borderId="0" xfId="1" applyNumberFormat="1" applyFont="1"/>
    <xf numFmtId="4" fontId="4" fillId="0" borderId="1" xfId="0" applyNumberFormat="1" applyFont="1" applyBorder="1" applyAlignment="1">
      <alignment horizontal="center"/>
    </xf>
    <xf numFmtId="0" fontId="5" fillId="0" borderId="0" xfId="0" applyFont="1" applyAlignment="1">
      <alignment horizontal="right"/>
    </xf>
    <xf numFmtId="0" fontId="3" fillId="0" borderId="0" xfId="0" applyFont="1"/>
    <xf numFmtId="0" fontId="18" fillId="0" borderId="0" xfId="0" applyFont="1"/>
    <xf numFmtId="4" fontId="5" fillId="0" borderId="0" xfId="1" applyNumberFormat="1" applyFont="1"/>
    <xf numFmtId="4" fontId="5" fillId="0" borderId="2" xfId="1" applyNumberFormat="1" applyFont="1" applyBorder="1"/>
    <xf numFmtId="4" fontId="5" fillId="0" borderId="3" xfId="1" applyNumberFormat="1" applyFont="1" applyBorder="1"/>
    <xf numFmtId="10" fontId="5" fillId="0" borderId="2" xfId="3" applyNumberFormat="1" applyFont="1" applyBorder="1" applyAlignment="1">
      <alignment horizontal="right"/>
    </xf>
    <xf numFmtId="168" fontId="5" fillId="0" borderId="0" xfId="1" applyNumberFormat="1" applyFont="1"/>
    <xf numFmtId="168" fontId="5" fillId="0" borderId="2" xfId="1" applyNumberFormat="1" applyFont="1" applyBorder="1"/>
    <xf numFmtId="168" fontId="5" fillId="0" borderId="3" xfId="1" applyNumberFormat="1" applyFont="1" applyBorder="1"/>
    <xf numFmtId="4" fontId="0" fillId="0" borderId="0" xfId="0" applyNumberFormat="1"/>
    <xf numFmtId="4" fontId="4" fillId="0" borderId="0" xfId="0" applyNumberFormat="1" applyFont="1" applyBorder="1" applyAlignment="1">
      <alignment horizontal="center"/>
    </xf>
    <xf numFmtId="168" fontId="4" fillId="0" borderId="0" xfId="0" applyNumberFormat="1" applyFont="1" applyBorder="1" applyAlignment="1">
      <alignment horizontal="center"/>
    </xf>
    <xf numFmtId="4" fontId="13" fillId="0" borderId="0" xfId="0" applyNumberFormat="1" applyFont="1" applyAlignment="1">
      <alignment horizontal="left"/>
    </xf>
    <xf numFmtId="4" fontId="12" fillId="0" borderId="0" xfId="0" applyNumberFormat="1" applyFont="1"/>
    <xf numFmtId="4" fontId="10" fillId="0" borderId="0" xfId="0" applyNumberFormat="1" applyFont="1" applyBorder="1" applyAlignment="1">
      <alignment horizontal="center"/>
    </xf>
    <xf numFmtId="4" fontId="3" fillId="0" borderId="0" xfId="0" applyNumberFormat="1" applyFont="1" applyBorder="1" applyAlignment="1">
      <alignment horizontal="center"/>
    </xf>
    <xf numFmtId="4" fontId="3" fillId="0" borderId="0" xfId="0" applyNumberFormat="1" applyFont="1" applyBorder="1" applyAlignment="1">
      <alignment horizontal="left"/>
    </xf>
    <xf numFmtId="4" fontId="12" fillId="0" borderId="0" xfId="0" applyNumberFormat="1" applyFont="1" applyBorder="1" applyAlignment="1">
      <alignment horizontal="center"/>
    </xf>
    <xf numFmtId="4" fontId="12" fillId="0" borderId="0" xfId="1" applyNumberFormat="1" applyFont="1" applyBorder="1"/>
    <xf numFmtId="4" fontId="12" fillId="0" borderId="0" xfId="1" applyNumberFormat="1" applyFont="1" applyFill="1" applyBorder="1"/>
    <xf numFmtId="4" fontId="3" fillId="0" borderId="0" xfId="1" applyNumberFormat="1" applyFont="1" applyBorder="1"/>
    <xf numFmtId="4" fontId="11" fillId="0" borderId="0" xfId="0" applyNumberFormat="1" applyFont="1"/>
    <xf numFmtId="4" fontId="11" fillId="0" borderId="0" xfId="1" applyNumberFormat="1" applyFont="1"/>
    <xf numFmtId="4" fontId="12" fillId="0" borderId="0" xfId="1" applyNumberFormat="1" applyFont="1"/>
    <xf numFmtId="4" fontId="15" fillId="0" borderId="0" xfId="1" applyNumberFormat="1" applyFont="1"/>
    <xf numFmtId="4" fontId="2" fillId="0" borderId="0" xfId="1" applyNumberFormat="1"/>
    <xf numFmtId="4" fontId="19" fillId="0" borderId="0" xfId="1" applyNumberFormat="1" applyFont="1"/>
    <xf numFmtId="169" fontId="5" fillId="0" borderId="0" xfId="1" applyNumberFormat="1" applyFont="1"/>
    <xf numFmtId="4" fontId="15" fillId="0" borderId="0" xfId="0" applyNumberFormat="1" applyFont="1" applyAlignment="1">
      <alignment horizontal="left"/>
    </xf>
    <xf numFmtId="4" fontId="11" fillId="0" borderId="0" xfId="0" applyNumberFormat="1" applyFont="1" applyAlignment="1">
      <alignment horizontal="left"/>
    </xf>
    <xf numFmtId="4" fontId="11" fillId="2" borderId="0" xfId="0" applyNumberFormat="1" applyFont="1" applyFill="1"/>
    <xf numFmtId="4" fontId="11" fillId="3" borderId="0" xfId="0" applyNumberFormat="1" applyFont="1" applyFill="1"/>
    <xf numFmtId="0" fontId="5" fillId="0" borderId="12" xfId="0" applyFont="1" applyBorder="1"/>
    <xf numFmtId="0" fontId="5" fillId="0" borderId="12" xfId="0" applyFont="1" applyBorder="1" applyAlignment="1">
      <alignment horizontal="left"/>
    </xf>
    <xf numFmtId="4" fontId="5" fillId="0" borderId="12" xfId="0" applyNumberFormat="1" applyFont="1" applyBorder="1" applyAlignment="1">
      <alignment horizontal="right"/>
    </xf>
    <xf numFmtId="166" fontId="5" fillId="0" borderId="12" xfId="2" applyNumberFormat="1" applyFont="1" applyBorder="1"/>
    <xf numFmtId="4" fontId="5" fillId="0" borderId="12" xfId="2" applyNumberFormat="1" applyFont="1" applyBorder="1"/>
    <xf numFmtId="4" fontId="4" fillId="0" borderId="3" xfId="2" applyNumberFormat="1" applyFont="1" applyBorder="1"/>
    <xf numFmtId="0" fontId="4" fillId="0" borderId="0" xfId="0" applyFont="1" applyBorder="1" applyAlignment="1">
      <alignment horizontal="left"/>
    </xf>
    <xf numFmtId="4" fontId="5" fillId="0" borderId="0" xfId="0" applyNumberFormat="1" applyFont="1" applyBorder="1" applyAlignment="1">
      <alignment horizontal="right"/>
    </xf>
    <xf numFmtId="166" fontId="5" fillId="0" borderId="0" xfId="2" applyNumberFormat="1" applyFont="1" applyBorder="1"/>
    <xf numFmtId="4" fontId="4" fillId="0" borderId="0" xfId="2" applyNumberFormat="1" applyFont="1" applyBorder="1"/>
    <xf numFmtId="40" fontId="4" fillId="0" borderId="12" xfId="2" applyNumberFormat="1" applyFont="1" applyBorder="1"/>
    <xf numFmtId="40" fontId="4" fillId="0" borderId="0" xfId="2" applyNumberFormat="1" applyFont="1" applyBorder="1"/>
    <xf numFmtId="170" fontId="5" fillId="0" borderId="0" xfId="1" applyNumberFormat="1" applyFont="1"/>
    <xf numFmtId="4" fontId="21" fillId="0" borderId="0" xfId="0" applyNumberFormat="1" applyFont="1" applyAlignment="1">
      <alignment horizontal="left"/>
    </xf>
    <xf numFmtId="4" fontId="20" fillId="0" borderId="0" xfId="0" applyNumberFormat="1" applyFont="1"/>
    <xf numFmtId="4" fontId="19" fillId="0" borderId="0" xfId="0" applyNumberFormat="1" applyFont="1"/>
    <xf numFmtId="4" fontId="20" fillId="2" borderId="0" xfId="0" applyNumberFormat="1" applyFont="1" applyFill="1"/>
    <xf numFmtId="4" fontId="12" fillId="0" borderId="0" xfId="1" applyNumberFormat="1" applyFont="1" applyFill="1"/>
    <xf numFmtId="0" fontId="4" fillId="0" borderId="0" xfId="0" applyFont="1" applyAlignment="1">
      <alignment horizontal="center"/>
    </xf>
    <xf numFmtId="4" fontId="11" fillId="4" borderId="0" xfId="1" applyNumberFormat="1" applyFont="1" applyFill="1"/>
    <xf numFmtId="171" fontId="5" fillId="0" borderId="0" xfId="1" applyNumberFormat="1" applyFont="1"/>
    <xf numFmtId="172" fontId="5" fillId="0" borderId="0" xfId="1" applyNumberFormat="1" applyFont="1"/>
    <xf numFmtId="40" fontId="24" fillId="0" borderId="0" xfId="0" applyNumberFormat="1" applyFont="1" applyAlignment="1">
      <alignment horizontal="left"/>
    </xf>
    <xf numFmtId="40" fontId="24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right"/>
    </xf>
    <xf numFmtId="40" fontId="24" fillId="0" borderId="0" xfId="2" applyNumberFormat="1" applyFont="1"/>
    <xf numFmtId="0" fontId="25" fillId="0" borderId="0" xfId="0" applyFont="1" applyAlignment="1">
      <alignment horizontal="right"/>
    </xf>
    <xf numFmtId="170" fontId="24" fillId="0" borderId="0" xfId="1" applyNumberFormat="1" applyFont="1"/>
    <xf numFmtId="169" fontId="24" fillId="0" borderId="0" xfId="1" applyNumberFormat="1" applyFont="1"/>
    <xf numFmtId="0" fontId="4" fillId="0" borderId="0" xfId="0" applyFont="1" applyAlignment="1">
      <alignment horizontal="center"/>
    </xf>
    <xf numFmtId="171" fontId="12" fillId="0" borderId="0" xfId="1" applyNumberFormat="1" applyFont="1"/>
    <xf numFmtId="4" fontId="5" fillId="0" borderId="0" xfId="0" applyNumberFormat="1" applyFont="1" applyAlignment="1">
      <alignment horizontal="center" vertical="center"/>
    </xf>
    <xf numFmtId="39" fontId="5" fillId="0" borderId="0" xfId="1" applyNumberFormat="1" applyFont="1" applyAlignment="1">
      <alignment horizontal="center" vertical="center"/>
    </xf>
    <xf numFmtId="0" fontId="24" fillId="0" borderId="0" xfId="0" applyFont="1"/>
    <xf numFmtId="0" fontId="4" fillId="0" borderId="3" xfId="0" applyFont="1" applyBorder="1"/>
    <xf numFmtId="0" fontId="4" fillId="0" borderId="0" xfId="0" applyFont="1" applyAlignment="1">
      <alignment horizontal="center"/>
    </xf>
    <xf numFmtId="40" fontId="5" fillId="5" borderId="0" xfId="0" applyNumberFormat="1" applyFont="1" applyFill="1" applyAlignment="1">
      <alignment horizontal="left"/>
    </xf>
    <xf numFmtId="4" fontId="2" fillId="0" borderId="0" xfId="1" applyNumberFormat="1" applyFont="1"/>
    <xf numFmtId="169" fontId="5" fillId="0" borderId="3" xfId="1" applyNumberFormat="1" applyFont="1" applyBorder="1"/>
    <xf numFmtId="169" fontId="5" fillId="0" borderId="2" xfId="1" applyNumberFormat="1" applyFont="1" applyBorder="1"/>
    <xf numFmtId="2" fontId="5" fillId="0" borderId="0" xfId="2" applyNumberFormat="1" applyFont="1"/>
    <xf numFmtId="170" fontId="5" fillId="0" borderId="3" xfId="1" applyNumberFormat="1" applyFont="1" applyBorder="1"/>
    <xf numFmtId="4" fontId="29" fillId="0" borderId="2" xfId="1" applyNumberFormat="1" applyFont="1" applyBorder="1"/>
    <xf numFmtId="10" fontId="5" fillId="0" borderId="0" xfId="3" applyNumberFormat="1" applyFont="1" applyAlignment="1">
      <alignment horizontal="right"/>
    </xf>
    <xf numFmtId="10" fontId="5" fillId="0" borderId="3" xfId="3" applyNumberFormat="1" applyFont="1" applyBorder="1" applyAlignment="1">
      <alignment horizontal="right"/>
    </xf>
    <xf numFmtId="40" fontId="29" fillId="0" borderId="2" xfId="0" applyNumberFormat="1" applyFont="1" applyBorder="1" applyAlignment="1">
      <alignment horizontal="center"/>
    </xf>
    <xf numFmtId="10" fontId="24" fillId="5" borderId="0" xfId="3" applyNumberFormat="1" applyFont="1" applyFill="1" applyAlignment="1">
      <alignment horizontal="right"/>
    </xf>
    <xf numFmtId="40" fontId="29" fillId="0" borderId="3" xfId="0" applyNumberFormat="1" applyFont="1" applyBorder="1"/>
    <xf numFmtId="168" fontId="29" fillId="0" borderId="2" xfId="1" applyNumberFormat="1" applyFont="1" applyBorder="1"/>
    <xf numFmtId="170" fontId="29" fillId="0" borderId="2" xfId="1" applyNumberFormat="1" applyFont="1" applyBorder="1"/>
    <xf numFmtId="4" fontId="30" fillId="3" borderId="0" xfId="0" applyNumberFormat="1" applyFont="1" applyFill="1"/>
    <xf numFmtId="173" fontId="5" fillId="0" borderId="0" xfId="0" applyNumberFormat="1" applyFont="1"/>
    <xf numFmtId="174" fontId="5" fillId="0" borderId="0" xfId="0" applyNumberFormat="1" applyFont="1"/>
    <xf numFmtId="10" fontId="0" fillId="0" borderId="0" xfId="3" applyNumberFormat="1" applyFont="1"/>
    <xf numFmtId="4" fontId="2" fillId="0" borderId="0" xfId="0" applyNumberFormat="1" applyFo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68" fontId="4" fillId="0" borderId="0" xfId="0" applyNumberFormat="1" applyFont="1" applyBorder="1" applyAlignment="1">
      <alignment horizontal="left"/>
    </xf>
    <xf numFmtId="0" fontId="4" fillId="0" borderId="0" xfId="0" applyFont="1" applyBorder="1"/>
    <xf numFmtId="2" fontId="4" fillId="0" borderId="0" xfId="0" applyNumberFormat="1" applyFont="1" applyBorder="1" applyAlignment="1">
      <alignment horizontal="left"/>
    </xf>
    <xf numFmtId="4" fontId="4" fillId="0" borderId="1" xfId="0" applyNumberFormat="1" applyFont="1" applyBorder="1" applyAlignment="1">
      <alignment horizontal="right"/>
    </xf>
    <xf numFmtId="0" fontId="4" fillId="0" borderId="1" xfId="0" applyFont="1" applyBorder="1"/>
    <xf numFmtId="40" fontId="4" fillId="0" borderId="1" xfId="0" applyNumberFormat="1" applyFont="1" applyBorder="1" applyAlignment="1">
      <alignment horizontal="left"/>
    </xf>
    <xf numFmtId="4" fontId="4" fillId="0" borderId="0" xfId="0" applyNumberFormat="1" applyFont="1" applyBorder="1" applyAlignment="1">
      <alignment horizontal="left"/>
    </xf>
    <xf numFmtId="0" fontId="4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40" fontId="5" fillId="5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31" fillId="0" borderId="0" xfId="0" applyFont="1" applyBorder="1" applyAlignment="1">
      <alignment horizontal="left"/>
    </xf>
    <xf numFmtId="4" fontId="31" fillId="0" borderId="0" xfId="0" applyNumberFormat="1" applyFont="1" applyBorder="1" applyAlignment="1">
      <alignment horizontal="left"/>
    </xf>
    <xf numFmtId="0" fontId="31" fillId="0" borderId="0" xfId="0" applyFont="1" applyAlignment="1"/>
    <xf numFmtId="0" fontId="31" fillId="0" borderId="0" xfId="0" applyFont="1" applyBorder="1" applyAlignment="1"/>
    <xf numFmtId="3" fontId="16" fillId="0" borderId="0" xfId="0" applyNumberFormat="1" applyFont="1" applyBorder="1" applyAlignment="1">
      <alignment horizontal="center"/>
    </xf>
    <xf numFmtId="4" fontId="12" fillId="0" borderId="0" xfId="0" applyNumberFormat="1" applyFont="1" applyFill="1" applyBorder="1" applyAlignment="1">
      <alignment horizontal="left"/>
    </xf>
    <xf numFmtId="4" fontId="12" fillId="5" borderId="0" xfId="0" applyNumberFormat="1" applyFont="1" applyFill="1" applyBorder="1" applyAlignment="1">
      <alignment horizontal="center"/>
    </xf>
    <xf numFmtId="4" fontId="28" fillId="6" borderId="0" xfId="4" applyNumberFormat="1" applyBorder="1" applyAlignment="1">
      <alignment horizontal="right"/>
    </xf>
    <xf numFmtId="4" fontId="28" fillId="6" borderId="0" xfId="4" applyNumberFormat="1" applyBorder="1"/>
    <xf numFmtId="4" fontId="12" fillId="0" borderId="0" xfId="0" applyNumberFormat="1" applyFont="1" applyFill="1" applyBorder="1" applyAlignment="1">
      <alignment horizontal="right"/>
    </xf>
    <xf numFmtId="4" fontId="12" fillId="0" borderId="0" xfId="0" applyNumberFormat="1" applyFont="1" applyBorder="1" applyAlignment="1">
      <alignment horizontal="left"/>
    </xf>
    <xf numFmtId="4" fontId="12" fillId="5" borderId="0" xfId="0" applyNumberFormat="1" applyFont="1" applyFill="1" applyBorder="1" applyAlignment="1">
      <alignment horizontal="right"/>
    </xf>
    <xf numFmtId="4" fontId="12" fillId="5" borderId="0" xfId="1" applyNumberFormat="1" applyFont="1" applyFill="1" applyBorder="1" applyAlignment="1">
      <alignment horizontal="right"/>
    </xf>
    <xf numFmtId="4" fontId="22" fillId="0" borderId="0" xfId="0" applyNumberFormat="1" applyFont="1" applyBorder="1" applyAlignment="1">
      <alignment horizontal="left"/>
    </xf>
    <xf numFmtId="4" fontId="30" fillId="0" borderId="13" xfId="0" applyNumberFormat="1" applyFont="1" applyBorder="1"/>
    <xf numFmtId="170" fontId="30" fillId="0" borderId="7" xfId="1" applyNumberFormat="1" applyFont="1" applyBorder="1"/>
    <xf numFmtId="4" fontId="30" fillId="0" borderId="16" xfId="0" applyNumberFormat="1" applyFont="1" applyBorder="1"/>
    <xf numFmtId="170" fontId="30" fillId="0" borderId="8" xfId="1" applyNumberFormat="1" applyFont="1" applyBorder="1"/>
    <xf numFmtId="4" fontId="30" fillId="0" borderId="9" xfId="0" applyNumberFormat="1" applyFont="1" applyBorder="1"/>
    <xf numFmtId="170" fontId="30" fillId="0" borderId="10" xfId="1" applyNumberFormat="1" applyFont="1" applyBorder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4" fillId="0" borderId="0" xfId="0" applyFont="1" applyAlignment="1">
      <alignment horizontal="center"/>
    </xf>
    <xf numFmtId="171" fontId="24" fillId="0" borderId="0" xfId="1" applyNumberFormat="1" applyFo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4" fontId="28" fillId="6" borderId="22" xfId="4" applyNumberFormat="1" applyBorder="1" applyAlignment="1">
      <alignment vertical="center"/>
    </xf>
    <xf numFmtId="4" fontId="28" fillId="6" borderId="25" xfId="4" applyNumberFormat="1" applyBorder="1" applyAlignment="1">
      <alignment horizontal="right" vertical="center"/>
    </xf>
    <xf numFmtId="4" fontId="28" fillId="6" borderId="25" xfId="4" applyNumberFormat="1" applyBorder="1" applyAlignment="1">
      <alignment vertical="center"/>
    </xf>
    <xf numFmtId="0" fontId="2" fillId="0" borderId="22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3" fontId="2" fillId="0" borderId="21" xfId="0" applyNumberFormat="1" applyFont="1" applyBorder="1" applyAlignment="1">
      <alignment horizontal="center" vertical="center"/>
    </xf>
    <xf numFmtId="3" fontId="2" fillId="0" borderId="24" xfId="0" applyNumberFormat="1" applyFont="1" applyBorder="1" applyAlignment="1">
      <alignment horizontal="center" vertical="center"/>
    </xf>
    <xf numFmtId="0" fontId="33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2" fontId="5" fillId="0" borderId="0" xfId="0" applyNumberFormat="1" applyFont="1"/>
    <xf numFmtId="4" fontId="4" fillId="0" borderId="0" xfId="0" applyNumberFormat="1" applyFont="1"/>
    <xf numFmtId="40" fontId="0" fillId="0" borderId="0" xfId="0" applyNumberFormat="1"/>
    <xf numFmtId="0" fontId="2" fillId="0" borderId="0" xfId="0" applyFont="1"/>
    <xf numFmtId="2" fontId="0" fillId="0" borderId="0" xfId="0" applyNumberFormat="1"/>
    <xf numFmtId="0" fontId="0" fillId="0" borderId="0" xfId="0" pivotButton="1"/>
    <xf numFmtId="0" fontId="0" fillId="0" borderId="0" xfId="0" applyNumberFormat="1"/>
    <xf numFmtId="0" fontId="4" fillId="0" borderId="0" xfId="0" applyFont="1" applyAlignment="1">
      <alignment horizontal="center"/>
    </xf>
    <xf numFmtId="4" fontId="34" fillId="5" borderId="22" xfId="4" applyNumberFormat="1" applyFont="1" applyFill="1" applyBorder="1" applyAlignment="1">
      <alignment horizontal="right" vertical="center"/>
    </xf>
    <xf numFmtId="4" fontId="34" fillId="5" borderId="22" xfId="4" applyNumberFormat="1" applyFont="1" applyFill="1" applyBorder="1" applyAlignment="1">
      <alignment vertical="center"/>
    </xf>
    <xf numFmtId="0" fontId="2" fillId="0" borderId="25" xfId="0" applyFont="1" applyBorder="1" applyAlignment="1">
      <alignment vertical="center"/>
    </xf>
    <xf numFmtId="4" fontId="34" fillId="6" borderId="25" xfId="4" applyNumberFormat="1" applyFont="1" applyBorder="1" applyAlignment="1">
      <alignment vertical="center"/>
    </xf>
    <xf numFmtId="4" fontId="28" fillId="6" borderId="28" xfId="4" applyNumberFormat="1" applyBorder="1" applyAlignment="1">
      <alignment horizontal="right" vertical="center"/>
    </xf>
    <xf numFmtId="4" fontId="28" fillId="6" borderId="28" xfId="4" applyNumberFormat="1" applyBorder="1" applyAlignment="1">
      <alignment vertical="center"/>
    </xf>
    <xf numFmtId="4" fontId="28" fillId="6" borderId="30" xfId="4" applyNumberFormat="1" applyBorder="1" applyAlignment="1">
      <alignment horizontal="right" vertical="center"/>
    </xf>
    <xf numFmtId="4" fontId="28" fillId="6" borderId="31" xfId="4" applyNumberFormat="1" applyBorder="1" applyAlignment="1">
      <alignment horizontal="right" vertical="center"/>
    </xf>
    <xf numFmtId="3" fontId="36" fillId="0" borderId="21" xfId="0" applyNumberFormat="1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/>
    </xf>
    <xf numFmtId="4" fontId="1" fillId="6" borderId="22" xfId="4" applyNumberFormat="1" applyFont="1" applyBorder="1" applyAlignment="1">
      <alignment horizontal="right" vertical="center"/>
    </xf>
    <xf numFmtId="4" fontId="1" fillId="6" borderId="22" xfId="4" applyNumberFormat="1" applyFont="1" applyBorder="1" applyAlignment="1">
      <alignment vertical="center"/>
    </xf>
    <xf numFmtId="3" fontId="36" fillId="0" borderId="24" xfId="0" applyNumberFormat="1" applyFont="1" applyBorder="1" applyAlignment="1">
      <alignment horizontal="center" vertical="center"/>
    </xf>
    <xf numFmtId="0" fontId="36" fillId="0" borderId="25" xfId="0" applyFont="1" applyBorder="1" applyAlignment="1">
      <alignment horizontal="center" vertical="center"/>
    </xf>
    <xf numFmtId="4" fontId="1" fillId="6" borderId="25" xfId="4" applyNumberFormat="1" applyFont="1" applyBorder="1" applyAlignment="1">
      <alignment horizontal="right" vertical="center"/>
    </xf>
    <xf numFmtId="4" fontId="1" fillId="6" borderId="25" xfId="4" applyNumberFormat="1" applyFont="1" applyBorder="1" applyAlignment="1">
      <alignment vertical="center"/>
    </xf>
    <xf numFmtId="171" fontId="23" fillId="0" borderId="0" xfId="1" applyNumberFormat="1" applyFont="1"/>
    <xf numFmtId="169" fontId="23" fillId="0" borderId="0" xfId="1" applyNumberFormat="1" applyFont="1"/>
    <xf numFmtId="4" fontId="34" fillId="6" borderId="31" xfId="4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3" fontId="36" fillId="0" borderId="27" xfId="0" applyNumberFormat="1" applyFont="1" applyBorder="1" applyAlignment="1">
      <alignment horizontal="center" vertical="center"/>
    </xf>
    <xf numFmtId="0" fontId="36" fillId="0" borderId="28" xfId="0" applyFont="1" applyBorder="1" applyAlignment="1">
      <alignment horizontal="center" vertical="center"/>
    </xf>
    <xf numFmtId="4" fontId="1" fillId="6" borderId="28" xfId="4" applyNumberFormat="1" applyFont="1" applyBorder="1" applyAlignment="1">
      <alignment horizontal="right" vertical="center"/>
    </xf>
    <xf numFmtId="4" fontId="1" fillId="6" borderId="28" xfId="4" applyNumberFormat="1" applyFont="1" applyBorder="1" applyAlignment="1">
      <alignment vertical="center"/>
    </xf>
    <xf numFmtId="0" fontId="36" fillId="0" borderId="22" xfId="0" applyFont="1" applyBorder="1" applyAlignment="1">
      <alignment vertical="center"/>
    </xf>
    <xf numFmtId="0" fontId="36" fillId="0" borderId="28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4" fontId="34" fillId="5" borderId="4" xfId="4" applyNumberFormat="1" applyFont="1" applyFill="1" applyBorder="1" applyAlignment="1">
      <alignment horizontal="right" vertical="center"/>
    </xf>
    <xf numFmtId="4" fontId="34" fillId="5" borderId="4" xfId="4" applyNumberFormat="1" applyFont="1" applyFill="1" applyBorder="1" applyAlignment="1">
      <alignment vertical="center"/>
    </xf>
    <xf numFmtId="4" fontId="34" fillId="5" borderId="32" xfId="4" applyNumberFormat="1" applyFont="1" applyFill="1" applyBorder="1" applyAlignment="1">
      <alignment horizontal="right" vertical="center"/>
    </xf>
    <xf numFmtId="4" fontId="34" fillId="5" borderId="32" xfId="4" applyNumberFormat="1" applyFont="1" applyFill="1" applyBorder="1" applyAlignment="1">
      <alignment vertical="center"/>
    </xf>
    <xf numFmtId="3" fontId="2" fillId="0" borderId="4" xfId="0" applyNumberFormat="1" applyFont="1" applyBorder="1" applyAlignment="1">
      <alignment horizontal="center" vertical="center"/>
    </xf>
    <xf numFmtId="0" fontId="16" fillId="5" borderId="4" xfId="0" applyFont="1" applyFill="1" applyBorder="1" applyAlignment="1">
      <alignment vertical="center"/>
    </xf>
    <xf numFmtId="0" fontId="2" fillId="5" borderId="4" xfId="0" applyFont="1" applyFill="1" applyBorder="1" applyAlignment="1">
      <alignment horizontal="center" vertical="center"/>
    </xf>
    <xf numFmtId="4" fontId="35" fillId="5" borderId="4" xfId="0" applyNumberFormat="1" applyFont="1" applyFill="1" applyBorder="1" applyAlignment="1">
      <alignment horizontal="right" vertical="center"/>
    </xf>
    <xf numFmtId="4" fontId="34" fillId="6" borderId="34" xfId="4" applyNumberFormat="1" applyFont="1" applyBorder="1" applyAlignment="1">
      <alignment horizontal="right" vertical="center"/>
    </xf>
    <xf numFmtId="4" fontId="34" fillId="6" borderId="34" xfId="4" applyNumberFormat="1" applyFont="1" applyBorder="1" applyAlignment="1">
      <alignment vertical="center"/>
    </xf>
    <xf numFmtId="0" fontId="36" fillId="0" borderId="25" xfId="0" applyFont="1" applyBorder="1" applyAlignment="1">
      <alignment vertical="center"/>
    </xf>
    <xf numFmtId="168" fontId="5" fillId="8" borderId="0" xfId="1" applyNumberFormat="1" applyFont="1" applyFill="1"/>
    <xf numFmtId="4" fontId="37" fillId="7" borderId="5" xfId="4" applyNumberFormat="1" applyFont="1" applyFill="1" applyBorder="1" applyAlignment="1">
      <alignment horizontal="center"/>
    </xf>
    <xf numFmtId="4" fontId="37" fillId="7" borderId="6" xfId="4" applyNumberFormat="1" applyFont="1" applyFill="1" applyBorder="1" applyAlignment="1">
      <alignment horizontal="center"/>
    </xf>
    <xf numFmtId="0" fontId="38" fillId="0" borderId="28" xfId="0" applyFont="1" applyBorder="1" applyAlignment="1">
      <alignment vertical="center"/>
    </xf>
    <xf numFmtId="4" fontId="39" fillId="5" borderId="23" xfId="0" applyNumberFormat="1" applyFont="1" applyFill="1" applyBorder="1" applyAlignment="1">
      <alignment horizontal="right" vertical="center"/>
    </xf>
    <xf numFmtId="4" fontId="39" fillId="5" borderId="26" xfId="0" applyNumberFormat="1" applyFont="1" applyFill="1" applyBorder="1" applyAlignment="1">
      <alignment horizontal="right" vertical="center"/>
    </xf>
    <xf numFmtId="4" fontId="39" fillId="5" borderId="33" xfId="0" applyNumberFormat="1" applyFont="1" applyFill="1" applyBorder="1" applyAlignment="1">
      <alignment horizontal="right" vertical="center"/>
    </xf>
    <xf numFmtId="4" fontId="39" fillId="5" borderId="29" xfId="0" applyNumberFormat="1" applyFont="1" applyFill="1" applyBorder="1" applyAlignment="1">
      <alignment horizontal="right" vertical="center"/>
    </xf>
    <xf numFmtId="4" fontId="39" fillId="5" borderId="6" xfId="0" applyNumberFormat="1" applyFont="1" applyFill="1" applyBorder="1" applyAlignment="1">
      <alignment horizontal="right" vertical="center"/>
    </xf>
    <xf numFmtId="3" fontId="36" fillId="0" borderId="35" xfId="0" applyNumberFormat="1" applyFont="1" applyBorder="1" applyAlignment="1">
      <alignment horizontal="center" vertical="center"/>
    </xf>
    <xf numFmtId="0" fontId="36" fillId="0" borderId="36" xfId="0" applyFont="1" applyBorder="1" applyAlignment="1">
      <alignment vertical="center"/>
    </xf>
    <xf numFmtId="0" fontId="36" fillId="0" borderId="36" xfId="0" applyFont="1" applyBorder="1" applyAlignment="1">
      <alignment horizontal="center" vertical="center"/>
    </xf>
    <xf numFmtId="3" fontId="2" fillId="0" borderId="25" xfId="0" applyNumberFormat="1" applyFont="1" applyBorder="1" applyAlignment="1">
      <alignment horizontal="center" vertical="center"/>
    </xf>
    <xf numFmtId="4" fontId="43" fillId="9" borderId="25" xfId="0" applyNumberFormat="1" applyFont="1" applyFill="1" applyBorder="1" applyAlignment="1">
      <alignment horizontal="center" vertical="center"/>
    </xf>
    <xf numFmtId="4" fontId="43" fillId="9" borderId="25" xfId="1" applyNumberFormat="1" applyFont="1" applyFill="1" applyBorder="1" applyAlignment="1">
      <alignment horizontal="center" vertical="center" wrapText="1"/>
    </xf>
    <xf numFmtId="3" fontId="14" fillId="10" borderId="25" xfId="0" applyNumberFormat="1" applyFont="1" applyFill="1" applyBorder="1" applyAlignment="1">
      <alignment horizontal="center" vertical="center" wrapText="1"/>
    </xf>
    <xf numFmtId="175" fontId="2" fillId="0" borderId="25" xfId="0" applyNumberFormat="1" applyFont="1" applyBorder="1" applyAlignment="1">
      <alignment horizontal="center" vertical="center"/>
    </xf>
    <xf numFmtId="4" fontId="44" fillId="5" borderId="25" xfId="0" applyNumberFormat="1" applyFont="1" applyFill="1" applyBorder="1" applyAlignment="1">
      <alignment horizontal="center" vertical="center"/>
    </xf>
    <xf numFmtId="4" fontId="44" fillId="5" borderId="25" xfId="0" applyNumberFormat="1" applyFont="1" applyFill="1" applyBorder="1" applyAlignment="1">
      <alignment horizontal="right" vertical="center"/>
    </xf>
    <xf numFmtId="4" fontId="40" fillId="6" borderId="25" xfId="4" applyNumberFormat="1" applyFont="1" applyBorder="1" applyAlignment="1">
      <alignment horizontal="right" vertical="center"/>
    </xf>
    <xf numFmtId="4" fontId="40" fillId="6" borderId="25" xfId="4" applyNumberFormat="1" applyFont="1" applyBorder="1" applyAlignment="1">
      <alignment vertical="center"/>
    </xf>
    <xf numFmtId="175" fontId="36" fillId="0" borderId="25" xfId="0" applyNumberFormat="1" applyFont="1" applyBorder="1" applyAlignment="1">
      <alignment horizontal="center" vertical="center"/>
    </xf>
    <xf numFmtId="4" fontId="45" fillId="5" borderId="25" xfId="4" applyNumberFormat="1" applyFont="1" applyFill="1" applyBorder="1" applyAlignment="1">
      <alignment horizontal="right" vertical="center"/>
    </xf>
    <xf numFmtId="4" fontId="28" fillId="5" borderId="0" xfId="4" applyNumberFormat="1" applyFill="1" applyBorder="1" applyAlignment="1">
      <alignment horizontal="right"/>
    </xf>
    <xf numFmtId="4" fontId="28" fillId="5" borderId="0" xfId="4" applyNumberFormat="1" applyFill="1" applyBorder="1"/>
    <xf numFmtId="4" fontId="44" fillId="0" borderId="25" xfId="0" applyNumberFormat="1" applyFont="1" applyFill="1" applyBorder="1" applyAlignment="1">
      <alignment horizontal="left" vertical="center"/>
    </xf>
    <xf numFmtId="4" fontId="44" fillId="0" borderId="25" xfId="1" applyNumberFormat="1" applyFont="1" applyBorder="1" applyAlignment="1">
      <alignment vertical="center"/>
    </xf>
    <xf numFmtId="4" fontId="44" fillId="0" borderId="25" xfId="0" applyNumberFormat="1" applyFont="1" applyFill="1" applyBorder="1" applyAlignment="1">
      <alignment horizontal="left" vertical="center" wrapText="1"/>
    </xf>
    <xf numFmtId="4" fontId="14" fillId="0" borderId="25" xfId="0" applyNumberFormat="1" applyFont="1" applyFill="1" applyBorder="1" applyAlignment="1">
      <alignment vertical="center" wrapText="1"/>
    </xf>
    <xf numFmtId="4" fontId="44" fillId="0" borderId="25" xfId="1" applyNumberFormat="1" applyFont="1" applyBorder="1" applyAlignment="1">
      <alignment horizontal="right" vertical="center"/>
    </xf>
    <xf numFmtId="4" fontId="14" fillId="0" borderId="25" xfId="0" applyNumberFormat="1" applyFont="1" applyFill="1" applyBorder="1" applyAlignment="1">
      <alignment horizontal="right" vertical="center" wrapText="1"/>
    </xf>
    <xf numFmtId="4" fontId="0" fillId="0" borderId="0" xfId="3" applyNumberFormat="1" applyFont="1"/>
    <xf numFmtId="4" fontId="47" fillId="5" borderId="25" xfId="4" applyNumberFormat="1" applyFont="1" applyFill="1" applyBorder="1" applyAlignment="1">
      <alignment vertical="center"/>
    </xf>
    <xf numFmtId="4" fontId="44" fillId="0" borderId="37" xfId="0" applyNumberFormat="1" applyFont="1" applyFill="1" applyBorder="1" applyAlignment="1">
      <alignment horizontal="left" vertical="center" wrapText="1"/>
    </xf>
    <xf numFmtId="4" fontId="2" fillId="0" borderId="25" xfId="0" applyNumberFormat="1" applyFont="1" applyBorder="1" applyAlignment="1">
      <alignment horizontal="center" vertical="center"/>
    </xf>
    <xf numFmtId="4" fontId="2" fillId="0" borderId="25" xfId="0" applyNumberFormat="1" applyFont="1" applyFill="1" applyBorder="1" applyAlignment="1">
      <alignment horizontal="center" vertical="center"/>
    </xf>
    <xf numFmtId="4" fontId="44" fillId="0" borderId="25" xfId="0" applyNumberFormat="1" applyFont="1" applyFill="1" applyBorder="1" applyAlignment="1">
      <alignment horizontal="center" vertical="center"/>
    </xf>
    <xf numFmtId="4" fontId="44" fillId="0" borderId="25" xfId="1" applyNumberFormat="1" applyFont="1" applyFill="1" applyBorder="1" applyAlignment="1">
      <alignment horizontal="right" vertical="center"/>
    </xf>
    <xf numFmtId="4" fontId="28" fillId="0" borderId="25" xfId="4" applyNumberFormat="1" applyFill="1" applyBorder="1" applyAlignment="1">
      <alignment horizontal="right" vertical="center"/>
    </xf>
    <xf numFmtId="4" fontId="28" fillId="0" borderId="25" xfId="4" applyNumberFormat="1" applyFill="1" applyBorder="1" applyAlignment="1">
      <alignment vertical="center"/>
    </xf>
    <xf numFmtId="4" fontId="44" fillId="0" borderId="25" xfId="0" applyNumberFormat="1" applyFont="1" applyFill="1" applyBorder="1" applyAlignment="1">
      <alignment horizontal="right" vertical="center"/>
    </xf>
    <xf numFmtId="4" fontId="44" fillId="0" borderId="25" xfId="1" applyNumberFormat="1" applyFont="1" applyFill="1" applyBorder="1" applyAlignment="1">
      <alignment vertical="center"/>
    </xf>
    <xf numFmtId="4" fontId="42" fillId="0" borderId="0" xfId="0" applyNumberFormat="1" applyFont="1" applyAlignment="1">
      <alignment horizontal="center"/>
    </xf>
    <xf numFmtId="4" fontId="17" fillId="5" borderId="25" xfId="0" applyNumberFormat="1" applyFont="1" applyFill="1" applyBorder="1" applyAlignment="1">
      <alignment horizontal="center" vertical="center" wrapText="1"/>
    </xf>
    <xf numFmtId="4" fontId="43" fillId="9" borderId="25" xfId="0" applyNumberFormat="1" applyFont="1" applyFill="1" applyBorder="1" applyAlignment="1">
      <alignment horizontal="center" vertical="center" wrapText="1"/>
    </xf>
    <xf numFmtId="4" fontId="10" fillId="5" borderId="25" xfId="0" applyNumberFormat="1" applyFont="1" applyFill="1" applyBorder="1" applyAlignment="1">
      <alignment horizontal="center" vertical="center" wrapText="1"/>
    </xf>
    <xf numFmtId="4" fontId="28" fillId="9" borderId="25" xfId="4" applyNumberFormat="1" applyFont="1" applyFill="1" applyBorder="1" applyAlignment="1">
      <alignment horizontal="center"/>
    </xf>
    <xf numFmtId="4" fontId="14" fillId="0" borderId="37" xfId="0" applyNumberFormat="1" applyFont="1" applyFill="1" applyBorder="1" applyAlignment="1">
      <alignment horizontal="left" vertical="center" wrapText="1"/>
    </xf>
    <xf numFmtId="4" fontId="14" fillId="0" borderId="38" xfId="0" applyNumberFormat="1" applyFont="1" applyFill="1" applyBorder="1" applyAlignment="1">
      <alignment horizontal="left" vertical="center" wrapText="1"/>
    </xf>
    <xf numFmtId="4" fontId="14" fillId="0" borderId="31" xfId="0" applyNumberFormat="1" applyFont="1" applyFill="1" applyBorder="1" applyAlignment="1">
      <alignment horizontal="left" vertical="center" wrapText="1"/>
    </xf>
    <xf numFmtId="4" fontId="14" fillId="5" borderId="25" xfId="0" applyNumberFormat="1" applyFont="1" applyFill="1" applyBorder="1" applyAlignment="1">
      <alignment horizontal="right" vertical="center"/>
    </xf>
    <xf numFmtId="4" fontId="46" fillId="0" borderId="25" xfId="0" applyNumberFormat="1" applyFont="1" applyFill="1" applyBorder="1" applyAlignment="1">
      <alignment horizontal="left" vertical="center" wrapText="1"/>
    </xf>
    <xf numFmtId="4" fontId="46" fillId="5" borderId="25" xfId="0" applyNumberFormat="1" applyFont="1" applyFill="1" applyBorder="1" applyAlignment="1">
      <alignment horizontal="right" vertical="center"/>
    </xf>
    <xf numFmtId="4" fontId="14" fillId="10" borderId="25" xfId="0" applyNumberFormat="1" applyFont="1" applyFill="1" applyBorder="1" applyAlignment="1">
      <alignment horizontal="left" vertical="center" wrapText="1"/>
    </xf>
    <xf numFmtId="4" fontId="41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4" fontId="3" fillId="7" borderId="18" xfId="0" applyNumberFormat="1" applyFont="1" applyFill="1" applyBorder="1" applyAlignment="1">
      <alignment horizontal="left" vertical="center" wrapText="1"/>
    </xf>
    <xf numFmtId="4" fontId="3" fillId="7" borderId="19" xfId="0" applyNumberFormat="1" applyFont="1" applyFill="1" applyBorder="1" applyAlignment="1">
      <alignment horizontal="left" vertical="center" wrapText="1"/>
    </xf>
    <xf numFmtId="4" fontId="3" fillId="7" borderId="20" xfId="0" applyNumberFormat="1" applyFont="1" applyFill="1" applyBorder="1" applyAlignment="1">
      <alignment horizontal="left" vertical="center" wrapText="1"/>
    </xf>
    <xf numFmtId="4" fontId="3" fillId="7" borderId="14" xfId="1" applyNumberFormat="1" applyFont="1" applyFill="1" applyBorder="1" applyAlignment="1">
      <alignment horizontal="center" vertical="center" wrapText="1"/>
    </xf>
    <xf numFmtId="4" fontId="3" fillId="7" borderId="15" xfId="1" applyNumberFormat="1" applyFont="1" applyFill="1" applyBorder="1" applyAlignment="1">
      <alignment horizontal="center" vertical="center" wrapText="1"/>
    </xf>
    <xf numFmtId="4" fontId="17" fillId="7" borderId="13" xfId="0" applyNumberFormat="1" applyFont="1" applyFill="1" applyBorder="1" applyAlignment="1">
      <alignment horizontal="left" vertical="center" wrapText="1"/>
    </xf>
    <xf numFmtId="4" fontId="17" fillId="7" borderId="4" xfId="0" applyNumberFormat="1" applyFont="1" applyFill="1" applyBorder="1" applyAlignment="1">
      <alignment horizontal="left" vertical="center" wrapText="1"/>
    </xf>
    <xf numFmtId="4" fontId="17" fillId="7" borderId="7" xfId="0" applyNumberFormat="1" applyFont="1" applyFill="1" applyBorder="1" applyAlignment="1">
      <alignment horizontal="left" vertical="center" wrapText="1"/>
    </xf>
    <xf numFmtId="4" fontId="17" fillId="7" borderId="9" xfId="0" applyNumberFormat="1" applyFont="1" applyFill="1" applyBorder="1" applyAlignment="1">
      <alignment horizontal="left" vertical="center" wrapText="1"/>
    </xf>
    <xf numFmtId="4" fontId="17" fillId="7" borderId="1" xfId="0" applyNumberFormat="1" applyFont="1" applyFill="1" applyBorder="1" applyAlignment="1">
      <alignment horizontal="left" vertical="center" wrapText="1"/>
    </xf>
    <xf numFmtId="4" fontId="17" fillId="7" borderId="10" xfId="0" applyNumberFormat="1" applyFont="1" applyFill="1" applyBorder="1" applyAlignment="1">
      <alignment horizontal="left" vertical="center" wrapText="1"/>
    </xf>
    <xf numFmtId="4" fontId="3" fillId="7" borderId="14" xfId="0" applyNumberFormat="1" applyFont="1" applyFill="1" applyBorder="1" applyAlignment="1">
      <alignment horizontal="center" vertical="center" wrapText="1"/>
    </xf>
    <xf numFmtId="4" fontId="3" fillId="7" borderId="15" xfId="0" applyNumberFormat="1" applyFont="1" applyFill="1" applyBorder="1" applyAlignment="1">
      <alignment horizontal="center" vertical="center" wrapText="1"/>
    </xf>
    <xf numFmtId="4" fontId="3" fillId="7" borderId="14" xfId="0" applyNumberFormat="1" applyFont="1" applyFill="1" applyBorder="1" applyAlignment="1">
      <alignment horizontal="center" vertical="center"/>
    </xf>
    <xf numFmtId="4" fontId="3" fillId="7" borderId="15" xfId="0" applyNumberFormat="1" applyFont="1" applyFill="1" applyBorder="1" applyAlignment="1">
      <alignment horizontal="center" vertical="center"/>
    </xf>
    <xf numFmtId="4" fontId="37" fillId="7" borderId="11" xfId="4" applyNumberFormat="1" applyFont="1" applyFill="1" applyBorder="1" applyAlignment="1">
      <alignment horizontal="center"/>
    </xf>
    <xf numFmtId="4" fontId="37" fillId="7" borderId="17" xfId="4" applyNumberFormat="1" applyFont="1" applyFill="1" applyBorder="1" applyAlignment="1">
      <alignment horizontal="center"/>
    </xf>
    <xf numFmtId="4" fontId="14" fillId="0" borderId="0" xfId="0" applyNumberFormat="1" applyFont="1" applyAlignment="1">
      <alignment horizontal="center"/>
    </xf>
  </cellXfs>
  <cellStyles count="5">
    <cellStyle name="Énfasis5" xfId="4" builtinId="45"/>
    <cellStyle name="Millares" xfId="1" builtinId="3"/>
    <cellStyle name="Millares [0]" xfId="2" builtinId="6"/>
    <cellStyle name="Normal" xfId="0" builtinId="0"/>
    <cellStyle name="Porcentual" xfId="3" builtinId="5"/>
  </cellStyles>
  <dxfs count="6">
    <dxf>
      <numFmt numFmtId="4" formatCode="#,##0.00"/>
    </dxf>
    <dxf>
      <numFmt numFmtId="4" formatCode="#,##0.00"/>
    </dxf>
    <dxf>
      <numFmt numFmtId="4" formatCode="#,##0.00"/>
    </dxf>
    <dxf>
      <numFmt numFmtId="2" formatCode="0.00"/>
    </dxf>
    <dxf>
      <numFmt numFmtId="176" formatCode="#,##0.00\ _€;[Red]\-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66CC"/>
      <color rgb="FF3366FF"/>
      <color rgb="FF0066FF"/>
      <color rgb="FFFFFF66"/>
      <color rgb="FFFFFF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200819</xdr:colOff>
      <xdr:row>0</xdr:row>
      <xdr:rowOff>23813</xdr:rowOff>
    </xdr:from>
    <xdr:to>
      <xdr:col>9</xdr:col>
      <xdr:colOff>17363</xdr:colOff>
      <xdr:row>3</xdr:row>
      <xdr:rowOff>794</xdr:rowOff>
    </xdr:to>
    <xdr:pic>
      <xdr:nvPicPr>
        <xdr:cNvPr id="2" name="1 Imagen" descr="LR-0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30294" y="23813"/>
          <a:ext cx="864294" cy="51990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79376</xdr:rowOff>
    </xdr:from>
    <xdr:to>
      <xdr:col>1</xdr:col>
      <xdr:colOff>440531</xdr:colOff>
      <xdr:row>2</xdr:row>
      <xdr:rowOff>47626</xdr:rowOff>
    </xdr:to>
    <xdr:pic>
      <xdr:nvPicPr>
        <xdr:cNvPr id="3" name="2 Imagen" descr="C:\Users\Public\LOGO2010Celaque 1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79376"/>
          <a:ext cx="1335881" cy="33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1138769</xdr:colOff>
      <xdr:row>2</xdr:row>
      <xdr:rowOff>166688</xdr:rowOff>
    </xdr:to>
    <xdr:pic>
      <xdr:nvPicPr>
        <xdr:cNvPr id="2" name="1 Imagen" descr="membrete final Celaq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434169" cy="547688"/>
        </a:xfrm>
        <a:prstGeom prst="rect">
          <a:avLst/>
        </a:prstGeom>
      </xdr:spPr>
    </xdr:pic>
    <xdr:clientData/>
  </xdr:twoCellAnchor>
  <xdr:twoCellAnchor editAs="oneCell">
    <xdr:from>
      <xdr:col>8</xdr:col>
      <xdr:colOff>61119</xdr:colOff>
      <xdr:row>0</xdr:row>
      <xdr:rowOff>63500</xdr:rowOff>
    </xdr:from>
    <xdr:to>
      <xdr:col>8</xdr:col>
      <xdr:colOff>931763</xdr:colOff>
      <xdr:row>3</xdr:row>
      <xdr:rowOff>40481</xdr:rowOff>
    </xdr:to>
    <xdr:pic>
      <xdr:nvPicPr>
        <xdr:cNvPr id="3" name="2 Imagen" descr="LR-0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41719" y="63500"/>
          <a:ext cx="870644" cy="5357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200819</xdr:colOff>
      <xdr:row>0</xdr:row>
      <xdr:rowOff>23813</xdr:rowOff>
    </xdr:from>
    <xdr:to>
      <xdr:col>9</xdr:col>
      <xdr:colOff>17363</xdr:colOff>
      <xdr:row>3</xdr:row>
      <xdr:rowOff>794</xdr:rowOff>
    </xdr:to>
    <xdr:pic>
      <xdr:nvPicPr>
        <xdr:cNvPr id="2" name="1 Imagen" descr="LR-0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30294" y="23813"/>
          <a:ext cx="864294" cy="51990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79376</xdr:rowOff>
    </xdr:from>
    <xdr:to>
      <xdr:col>1</xdr:col>
      <xdr:colOff>440531</xdr:colOff>
      <xdr:row>2</xdr:row>
      <xdr:rowOff>47626</xdr:rowOff>
    </xdr:to>
    <xdr:pic>
      <xdr:nvPicPr>
        <xdr:cNvPr id="3" name="2 Imagen" descr="C:\Users\Public\LOGO2010Celaque 1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79376"/>
          <a:ext cx="1335881" cy="33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200819</xdr:colOff>
      <xdr:row>0</xdr:row>
      <xdr:rowOff>23813</xdr:rowOff>
    </xdr:from>
    <xdr:to>
      <xdr:col>9</xdr:col>
      <xdr:colOff>17363</xdr:colOff>
      <xdr:row>3</xdr:row>
      <xdr:rowOff>794</xdr:rowOff>
    </xdr:to>
    <xdr:pic>
      <xdr:nvPicPr>
        <xdr:cNvPr id="2" name="1 Imagen" descr="LR-0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25619" y="23813"/>
          <a:ext cx="864294" cy="51990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79376</xdr:rowOff>
    </xdr:from>
    <xdr:to>
      <xdr:col>1</xdr:col>
      <xdr:colOff>440531</xdr:colOff>
      <xdr:row>2</xdr:row>
      <xdr:rowOff>47626</xdr:rowOff>
    </xdr:to>
    <xdr:pic>
      <xdr:nvPicPr>
        <xdr:cNvPr id="3" name="2 Imagen" descr="C:\Users\Public\LOGO2010Celaque 1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79376"/>
          <a:ext cx="1335881" cy="33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1138769</xdr:colOff>
      <xdr:row>2</xdr:row>
      <xdr:rowOff>115888</xdr:rowOff>
    </xdr:to>
    <xdr:pic>
      <xdr:nvPicPr>
        <xdr:cNvPr id="2" name="1 Imagen" descr="membrete final Celaq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434169" cy="547688"/>
        </a:xfrm>
        <a:prstGeom prst="rect">
          <a:avLst/>
        </a:prstGeom>
      </xdr:spPr>
    </xdr:pic>
    <xdr:clientData/>
  </xdr:twoCellAnchor>
  <xdr:twoCellAnchor editAs="oneCell">
    <xdr:from>
      <xdr:col>7</xdr:col>
      <xdr:colOff>353219</xdr:colOff>
      <xdr:row>0</xdr:row>
      <xdr:rowOff>23813</xdr:rowOff>
    </xdr:from>
    <xdr:to>
      <xdr:col>9</xdr:col>
      <xdr:colOff>4663</xdr:colOff>
      <xdr:row>2</xdr:row>
      <xdr:rowOff>127794</xdr:rowOff>
    </xdr:to>
    <xdr:pic>
      <xdr:nvPicPr>
        <xdr:cNvPr id="3" name="2 Imagen" descr="LR-0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79719" y="23813"/>
          <a:ext cx="870644" cy="5357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1662644</xdr:colOff>
      <xdr:row>2</xdr:row>
      <xdr:rowOff>166688</xdr:rowOff>
    </xdr:to>
    <xdr:pic>
      <xdr:nvPicPr>
        <xdr:cNvPr id="2" name="1 Imagen" descr="membrete final Celaq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434169" cy="547688"/>
        </a:xfrm>
        <a:prstGeom prst="rect">
          <a:avLst/>
        </a:prstGeom>
      </xdr:spPr>
    </xdr:pic>
    <xdr:clientData/>
  </xdr:twoCellAnchor>
  <xdr:twoCellAnchor editAs="oneCell">
    <xdr:from>
      <xdr:col>8</xdr:col>
      <xdr:colOff>200819</xdr:colOff>
      <xdr:row>0</xdr:row>
      <xdr:rowOff>36513</xdr:rowOff>
    </xdr:from>
    <xdr:to>
      <xdr:col>9</xdr:col>
      <xdr:colOff>17363</xdr:colOff>
      <xdr:row>3</xdr:row>
      <xdr:rowOff>13494</xdr:rowOff>
    </xdr:to>
    <xdr:pic>
      <xdr:nvPicPr>
        <xdr:cNvPr id="3" name="2 Imagen" descr="LR-0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24319" y="36513"/>
          <a:ext cx="870644" cy="5357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1694394</xdr:colOff>
      <xdr:row>2</xdr:row>
      <xdr:rowOff>166688</xdr:rowOff>
    </xdr:to>
    <xdr:pic>
      <xdr:nvPicPr>
        <xdr:cNvPr id="2" name="1 Imagen" descr="membrete final Celaq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434169" cy="547688"/>
        </a:xfrm>
        <a:prstGeom prst="rect">
          <a:avLst/>
        </a:prstGeom>
      </xdr:spPr>
    </xdr:pic>
    <xdr:clientData/>
  </xdr:twoCellAnchor>
  <xdr:twoCellAnchor editAs="oneCell">
    <xdr:from>
      <xdr:col>8</xdr:col>
      <xdr:colOff>162719</xdr:colOff>
      <xdr:row>0</xdr:row>
      <xdr:rowOff>11113</xdr:rowOff>
    </xdr:from>
    <xdr:to>
      <xdr:col>8</xdr:col>
      <xdr:colOff>1033363</xdr:colOff>
      <xdr:row>2</xdr:row>
      <xdr:rowOff>165894</xdr:rowOff>
    </xdr:to>
    <xdr:pic>
      <xdr:nvPicPr>
        <xdr:cNvPr id="3" name="2 Imagen" descr="LR-0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59219" y="11113"/>
          <a:ext cx="870644" cy="5357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23019</xdr:colOff>
      <xdr:row>0</xdr:row>
      <xdr:rowOff>23813</xdr:rowOff>
    </xdr:from>
    <xdr:to>
      <xdr:col>8</xdr:col>
      <xdr:colOff>893663</xdr:colOff>
      <xdr:row>3</xdr:row>
      <xdr:rowOff>794</xdr:rowOff>
    </xdr:to>
    <xdr:pic>
      <xdr:nvPicPr>
        <xdr:cNvPr id="2" name="1 Imagen" descr="LR-0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81094" y="23813"/>
          <a:ext cx="870644" cy="519906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0</xdr:row>
      <xdr:rowOff>79375</xdr:rowOff>
    </xdr:from>
    <xdr:to>
      <xdr:col>1</xdr:col>
      <xdr:colOff>378705</xdr:colOff>
      <xdr:row>2</xdr:row>
      <xdr:rowOff>34428</xdr:rowOff>
    </xdr:to>
    <xdr:pic>
      <xdr:nvPicPr>
        <xdr:cNvPr id="3" name="2 Imagen" descr="C:\Users\Public\LOGO2010Celaque 1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500" y="79375"/>
          <a:ext cx="1334380" cy="326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137319</xdr:colOff>
      <xdr:row>0</xdr:row>
      <xdr:rowOff>74613</xdr:rowOff>
    </xdr:from>
    <xdr:to>
      <xdr:col>8</xdr:col>
      <xdr:colOff>1007963</xdr:colOff>
      <xdr:row>3</xdr:row>
      <xdr:rowOff>48419</xdr:rowOff>
    </xdr:to>
    <xdr:pic>
      <xdr:nvPicPr>
        <xdr:cNvPr id="2" name="1 Imagen" descr="LR-0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14544" y="74613"/>
          <a:ext cx="870644" cy="51673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0</xdr:row>
      <xdr:rowOff>59532</xdr:rowOff>
    </xdr:from>
    <xdr:to>
      <xdr:col>1</xdr:col>
      <xdr:colOff>571501</xdr:colOff>
      <xdr:row>2</xdr:row>
      <xdr:rowOff>35720</xdr:rowOff>
    </xdr:to>
    <xdr:pic>
      <xdr:nvPicPr>
        <xdr:cNvPr id="3" name="2 Imagen" descr="C:\Users\Public\LOGO2010Celaque 1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6" y="59532"/>
          <a:ext cx="1524000" cy="3476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150019</xdr:colOff>
      <xdr:row>0</xdr:row>
      <xdr:rowOff>23813</xdr:rowOff>
    </xdr:from>
    <xdr:to>
      <xdr:col>8</xdr:col>
      <xdr:colOff>1020663</xdr:colOff>
      <xdr:row>3</xdr:row>
      <xdr:rowOff>794</xdr:rowOff>
    </xdr:to>
    <xdr:pic>
      <xdr:nvPicPr>
        <xdr:cNvPr id="2" name="1 Imagen" descr="LR-0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93894" y="23813"/>
          <a:ext cx="870644" cy="519906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0</xdr:row>
      <xdr:rowOff>63501</xdr:rowOff>
    </xdr:from>
    <xdr:to>
      <xdr:col>1</xdr:col>
      <xdr:colOff>501855</xdr:colOff>
      <xdr:row>2</xdr:row>
      <xdr:rowOff>1</xdr:rowOff>
    </xdr:to>
    <xdr:pic>
      <xdr:nvPicPr>
        <xdr:cNvPr id="3" name="2 Imagen" descr="C:\Users\Public\LOGO2010Celaque 1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500" y="63501"/>
          <a:ext cx="1428955" cy="307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23019</xdr:colOff>
      <xdr:row>0</xdr:row>
      <xdr:rowOff>23813</xdr:rowOff>
    </xdr:from>
    <xdr:to>
      <xdr:col>8</xdr:col>
      <xdr:colOff>893663</xdr:colOff>
      <xdr:row>3</xdr:row>
      <xdr:rowOff>794</xdr:rowOff>
    </xdr:to>
    <xdr:pic>
      <xdr:nvPicPr>
        <xdr:cNvPr id="3" name="2 Imagen" descr="LR-0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233819" y="23813"/>
          <a:ext cx="870644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0</xdr:row>
      <xdr:rowOff>79375</xdr:rowOff>
    </xdr:from>
    <xdr:to>
      <xdr:col>1</xdr:col>
      <xdr:colOff>378705</xdr:colOff>
      <xdr:row>2</xdr:row>
      <xdr:rowOff>34428</xdr:rowOff>
    </xdr:to>
    <xdr:pic>
      <xdr:nvPicPr>
        <xdr:cNvPr id="4" name="3 Imagen" descr="C:\Users\Public\LOGO2010Celaque 1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500" y="79375"/>
          <a:ext cx="1336560" cy="3222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150019</xdr:colOff>
      <xdr:row>0</xdr:row>
      <xdr:rowOff>49213</xdr:rowOff>
    </xdr:from>
    <xdr:to>
      <xdr:col>8</xdr:col>
      <xdr:colOff>1020663</xdr:colOff>
      <xdr:row>3</xdr:row>
      <xdr:rowOff>26194</xdr:rowOff>
    </xdr:to>
    <xdr:pic>
      <xdr:nvPicPr>
        <xdr:cNvPr id="3" name="2 Imagen" descr="LR-0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284619" y="49213"/>
          <a:ext cx="870644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0</xdr:row>
      <xdr:rowOff>63501</xdr:rowOff>
    </xdr:from>
    <xdr:to>
      <xdr:col>1</xdr:col>
      <xdr:colOff>401052</xdr:colOff>
      <xdr:row>2</xdr:row>
      <xdr:rowOff>70185</xdr:rowOff>
    </xdr:to>
    <xdr:pic>
      <xdr:nvPicPr>
        <xdr:cNvPr id="4" name="3 Imagen" descr="C:\Users\Public\LOGO2010Celaque 1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375" y="63501"/>
          <a:ext cx="1324309" cy="3776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150019</xdr:colOff>
      <xdr:row>0</xdr:row>
      <xdr:rowOff>49213</xdr:rowOff>
    </xdr:from>
    <xdr:to>
      <xdr:col>8</xdr:col>
      <xdr:colOff>1020663</xdr:colOff>
      <xdr:row>3</xdr:row>
      <xdr:rowOff>26194</xdr:rowOff>
    </xdr:to>
    <xdr:pic>
      <xdr:nvPicPr>
        <xdr:cNvPr id="2" name="1 Imagen" descr="LR-0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55819" y="49213"/>
          <a:ext cx="870644" cy="519906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0</xdr:row>
      <xdr:rowOff>63501</xdr:rowOff>
    </xdr:from>
    <xdr:to>
      <xdr:col>1</xdr:col>
      <xdr:colOff>401052</xdr:colOff>
      <xdr:row>2</xdr:row>
      <xdr:rowOff>70185</xdr:rowOff>
    </xdr:to>
    <xdr:pic>
      <xdr:nvPicPr>
        <xdr:cNvPr id="3" name="2 Imagen" descr="C:\Users\Public\LOGO2010Celaque 1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375" y="63501"/>
          <a:ext cx="1321802" cy="37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Franklin/Documents/Public/Documents/licitaciones/LICITACION%20MANOFM%20%20LA%20ESPERANZA-LA%20CRUZ/Documents%20and%20Settings/Usuario/Escritorio/LFV.A2/Atlantida,1/corregido-SANTA%20BARBARA%2045%20C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$Backups\Producci&#243;n\Programaciones\Control%20de%20Pedidos%20(Viejo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UADRO CANT. PRECIOS UNIT."/>
      <sheetName val="RESUMEN"/>
      <sheetName val="PROYECTOS"/>
      <sheetName val="Mano de Obra"/>
      <sheetName val="Materiales"/>
      <sheetName val="Equipo"/>
      <sheetName val="Hoja Costo #1"/>
      <sheetName val="Hoja Costo #2"/>
      <sheetName val="Hoja Costo #3"/>
      <sheetName val="Hoja Costo #4"/>
      <sheetName val="Hoja Costo #5"/>
      <sheetName val="Hoja Costo #6"/>
      <sheetName val="Hoja Costo #7"/>
      <sheetName val="Hoja Costo #8A"/>
      <sheetName val="Hoja Costo #8"/>
      <sheetName val="Hoja Costo #9"/>
      <sheetName val="Hoja Costo #10"/>
      <sheetName val="Hoja Costo #11"/>
      <sheetName val="Hoja Costo #12"/>
      <sheetName val="Hoja Costo #13"/>
      <sheetName val="Hoja Costo #14"/>
      <sheetName val="Hoja Costo #15"/>
      <sheetName val="Hoja Costo #16A"/>
      <sheetName val="Hoja Costo #16"/>
      <sheetName val="Hoja Costo #17"/>
      <sheetName val="Hoja Costo #18"/>
      <sheetName val="Hoja Costo #19"/>
      <sheetName val="Hoja Costo #20"/>
      <sheetName val="Hoja Costo #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A6">
            <v>100</v>
          </cell>
          <cell r="B6" t="str">
            <v>Tractor de Oruga D6D CATERPILLAR</v>
          </cell>
          <cell r="C6" t="str">
            <v>HORA</v>
          </cell>
          <cell r="D6">
            <v>700</v>
          </cell>
        </row>
        <row r="7">
          <cell r="A7">
            <v>1000</v>
          </cell>
          <cell r="B7" t="str">
            <v>Motoniveladora 135 H CATERPILLAR</v>
          </cell>
          <cell r="C7" t="str">
            <v>HORA</v>
          </cell>
          <cell r="D7">
            <v>600</v>
          </cell>
        </row>
        <row r="8">
          <cell r="A8">
            <v>1100</v>
          </cell>
          <cell r="B8" t="str">
            <v>Motoniveladora 135 H CATERPILLAR</v>
          </cell>
          <cell r="C8" t="str">
            <v>HORA</v>
          </cell>
          <cell r="D8">
            <v>600</v>
          </cell>
        </row>
        <row r="9">
          <cell r="A9">
            <v>2000</v>
          </cell>
          <cell r="B9" t="str">
            <v>Vibrocompactador CS533D CATERPILLAR</v>
          </cell>
          <cell r="C9" t="str">
            <v>HORA</v>
          </cell>
          <cell r="D9">
            <v>450</v>
          </cell>
        </row>
        <row r="10">
          <cell r="A10">
            <v>2100</v>
          </cell>
          <cell r="B10" t="str">
            <v>Vibrocompactador CS533D CATERPILLAR</v>
          </cell>
          <cell r="C10" t="str">
            <v>HORA</v>
          </cell>
          <cell r="D10">
            <v>450</v>
          </cell>
        </row>
        <row r="11">
          <cell r="A11">
            <v>3000</v>
          </cell>
          <cell r="B11" t="str">
            <v>Excavadora de Oruga 312L CATERPILLAR</v>
          </cell>
          <cell r="C11" t="str">
            <v>HORA</v>
          </cell>
          <cell r="D11">
            <v>800</v>
          </cell>
        </row>
        <row r="12">
          <cell r="A12">
            <v>4000</v>
          </cell>
          <cell r="B12" t="str">
            <v>Cargadora Frontal 928 F CATERPILLAR</v>
          </cell>
          <cell r="C12" t="str">
            <v>HORA</v>
          </cell>
          <cell r="D12">
            <v>450</v>
          </cell>
        </row>
        <row r="13">
          <cell r="A13">
            <v>5000</v>
          </cell>
          <cell r="B13" t="str">
            <v>Tanque Cisterna 2,000 GLS MERCEDES BENZ</v>
          </cell>
          <cell r="C13" t="str">
            <v>HORA</v>
          </cell>
          <cell r="D13">
            <v>350</v>
          </cell>
        </row>
        <row r="14">
          <cell r="A14">
            <v>5200</v>
          </cell>
          <cell r="B14" t="str">
            <v>Tanque Cisterna 3,500 GLS</v>
          </cell>
          <cell r="C14" t="str">
            <v>HORA</v>
          </cell>
          <cell r="D14">
            <v>425</v>
          </cell>
        </row>
        <row r="15">
          <cell r="A15">
            <v>6000</v>
          </cell>
          <cell r="B15" t="str">
            <v>Volqueta de 10 M3 DIAMOND</v>
          </cell>
          <cell r="C15" t="str">
            <v>HORA</v>
          </cell>
          <cell r="D15">
            <v>475</v>
          </cell>
        </row>
        <row r="16">
          <cell r="A16">
            <v>6050</v>
          </cell>
          <cell r="B16" t="str">
            <v>Volqueta de 10 M3 MACK</v>
          </cell>
          <cell r="C16" t="str">
            <v>HORA</v>
          </cell>
          <cell r="D16">
            <v>475</v>
          </cell>
        </row>
        <row r="17">
          <cell r="A17">
            <v>7000</v>
          </cell>
          <cell r="B17" t="str">
            <v>Vibroapisonador de Impacto BS600 WACKER</v>
          </cell>
          <cell r="C17" t="str">
            <v>HORA</v>
          </cell>
          <cell r="D17">
            <v>100</v>
          </cell>
        </row>
        <row r="18">
          <cell r="A18">
            <v>8000</v>
          </cell>
          <cell r="B18" t="str">
            <v>Mezcladora de Concreto de 1 Bolsa CIPSA</v>
          </cell>
          <cell r="C18" t="str">
            <v>HORA</v>
          </cell>
          <cell r="D18">
            <v>125</v>
          </cell>
        </row>
        <row r="19">
          <cell r="A19">
            <v>9000</v>
          </cell>
          <cell r="B19" t="str">
            <v>Vibrador de Concreto</v>
          </cell>
          <cell r="C19" t="str">
            <v>HORA</v>
          </cell>
          <cell r="D19">
            <v>75</v>
          </cell>
        </row>
        <row r="20">
          <cell r="A20">
            <v>10200</v>
          </cell>
          <cell r="B20" t="str">
            <v>Bomba de Succión de 5 HP BRIGESTRATON</v>
          </cell>
          <cell r="C20" t="str">
            <v>HORA</v>
          </cell>
          <cell r="D20">
            <v>100</v>
          </cell>
        </row>
        <row r="21">
          <cell r="A21">
            <v>11000</v>
          </cell>
          <cell r="B21" t="str">
            <v>Cabezal con Rastra de 40 pies</v>
          </cell>
          <cell r="C21" t="str">
            <v>HORA</v>
          </cell>
          <cell r="D21">
            <v>700</v>
          </cell>
        </row>
        <row r="22">
          <cell r="A22">
            <v>11100</v>
          </cell>
          <cell r="B22" t="str">
            <v>Cabezal con Rastra de 40 pies</v>
          </cell>
          <cell r="C22" t="str">
            <v>KM</v>
          </cell>
          <cell r="D22">
            <v>90</v>
          </cell>
        </row>
        <row r="23">
          <cell r="A23">
            <v>12000</v>
          </cell>
          <cell r="B23" t="str">
            <v>Cabezal con Low Boy</v>
          </cell>
          <cell r="C23" t="str">
            <v>HORA</v>
          </cell>
          <cell r="D23">
            <v>850</v>
          </cell>
        </row>
        <row r="24">
          <cell r="A24">
            <v>13000</v>
          </cell>
          <cell r="B24" t="str">
            <v>Retroexcavadora</v>
          </cell>
          <cell r="C24" t="str">
            <v>HORA</v>
          </cell>
          <cell r="D24">
            <v>450</v>
          </cell>
        </row>
        <row r="25">
          <cell r="A25">
            <v>20000</v>
          </cell>
          <cell r="B25" t="str">
            <v>Heramienta Menor</v>
          </cell>
          <cell r="C25" t="str">
            <v>HORA</v>
          </cell>
          <cell r="D25">
            <v>0.05</v>
          </cell>
        </row>
        <row r="58">
          <cell r="A58">
            <v>5100</v>
          </cell>
          <cell r="B58" t="str">
            <v>Vibrador de Concreto</v>
          </cell>
          <cell r="C58" t="str">
            <v>HORA</v>
          </cell>
          <cell r="D58">
            <v>30</v>
          </cell>
        </row>
        <row r="59">
          <cell r="A59">
            <v>5200</v>
          </cell>
          <cell r="B59" t="str">
            <v>Tractor CAT D9L</v>
          </cell>
          <cell r="C59" t="str">
            <v>HORA</v>
          </cell>
          <cell r="D59">
            <v>2200</v>
          </cell>
        </row>
        <row r="60">
          <cell r="A60">
            <v>5300</v>
          </cell>
          <cell r="B60" t="str">
            <v>Retroexcavadora CASE 580L</v>
          </cell>
          <cell r="C60" t="str">
            <v>HORA</v>
          </cell>
          <cell r="D60">
            <v>500</v>
          </cell>
        </row>
        <row r="62">
          <cell r="A62">
            <v>6100</v>
          </cell>
        </row>
        <row r="103">
          <cell r="A103">
            <v>5400</v>
          </cell>
          <cell r="B103" t="str">
            <v>Cargadora CASE 921-C</v>
          </cell>
          <cell r="C103" t="str">
            <v>HORA</v>
          </cell>
          <cell r="D103">
            <v>750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ERRAZOS"/>
      <sheetName val="MOLDURAS"/>
      <sheetName val="PROG-PRENSADO"/>
      <sheetName val="PROG-PULIDO"/>
    </sheetNames>
    <sheetDataSet>
      <sheetData sheetId="0">
        <row r="6">
          <cell r="A6">
            <v>156</v>
          </cell>
          <cell r="B6" t="str">
            <v>Andres Velasquez</v>
          </cell>
          <cell r="C6" t="str">
            <v>Sandra Flores</v>
          </cell>
          <cell r="D6" t="str">
            <v>666-0132</v>
          </cell>
          <cell r="E6" t="str">
            <v>SPS</v>
          </cell>
          <cell r="F6">
            <v>35962</v>
          </cell>
          <cell r="G6">
            <v>35991</v>
          </cell>
          <cell r="H6">
            <v>1227</v>
          </cell>
          <cell r="I6" t="str">
            <v>TEBN302C</v>
          </cell>
        </row>
        <row r="7">
          <cell r="A7" t="str">
            <v>172-01</v>
          </cell>
          <cell r="B7" t="str">
            <v>Carlos Elvir</v>
          </cell>
          <cell r="C7" t="str">
            <v>Sandra Flores</v>
          </cell>
          <cell r="D7" t="str">
            <v>448-1314</v>
          </cell>
          <cell r="E7" t="str">
            <v>SPS</v>
          </cell>
          <cell r="F7">
            <v>35991</v>
          </cell>
          <cell r="G7">
            <v>36021</v>
          </cell>
          <cell r="H7">
            <v>1083</v>
          </cell>
          <cell r="I7" t="str">
            <v>TEGN253BN</v>
          </cell>
        </row>
        <row r="8">
          <cell r="A8">
            <v>155</v>
          </cell>
          <cell r="B8" t="str">
            <v>Marvin Molina</v>
          </cell>
          <cell r="C8" t="str">
            <v>Sandra Flores</v>
          </cell>
          <cell r="D8" t="str">
            <v>440-0627</v>
          </cell>
          <cell r="E8" t="str">
            <v>SPS</v>
          </cell>
          <cell r="F8">
            <v>35962</v>
          </cell>
          <cell r="G8">
            <v>35992</v>
          </cell>
          <cell r="H8">
            <v>1920</v>
          </cell>
          <cell r="I8" t="str">
            <v>TEGN252BO</v>
          </cell>
        </row>
        <row r="9">
          <cell r="A9">
            <v>181</v>
          </cell>
          <cell r="B9" t="str">
            <v>Melvin Guevara</v>
          </cell>
          <cell r="C9" t="str">
            <v>Sandra Flores</v>
          </cell>
          <cell r="D9" t="str">
            <v>666-4565</v>
          </cell>
          <cell r="E9" t="str">
            <v>SPS</v>
          </cell>
          <cell r="F9">
            <v>36011</v>
          </cell>
          <cell r="G9">
            <v>36040</v>
          </cell>
          <cell r="H9">
            <v>280</v>
          </cell>
          <cell r="I9" t="str">
            <v>TEGN303BN</v>
          </cell>
        </row>
        <row r="10">
          <cell r="A10">
            <v>233</v>
          </cell>
          <cell r="B10" t="str">
            <v>Consulco</v>
          </cell>
          <cell r="C10" t="str">
            <v>Norma</v>
          </cell>
          <cell r="D10" t="str">
            <v>228-1895</v>
          </cell>
          <cell r="E10" t="str">
            <v>TGU</v>
          </cell>
          <cell r="F10">
            <v>35970</v>
          </cell>
          <cell r="G10">
            <v>36000</v>
          </cell>
          <cell r="H10">
            <v>500</v>
          </cell>
          <cell r="I10" t="str">
            <v>TEGN252B</v>
          </cell>
        </row>
        <row r="11">
          <cell r="A11" t="str">
            <v>66-2</v>
          </cell>
          <cell r="B11" t="str">
            <v>Hector Paz</v>
          </cell>
          <cell r="C11" t="str">
            <v>Ing. Hernández</v>
          </cell>
          <cell r="D11" t="str">
            <v>6-641-725</v>
          </cell>
          <cell r="E11" t="str">
            <v>TGU</v>
          </cell>
          <cell r="F11">
            <v>35881</v>
          </cell>
          <cell r="G11">
            <v>35915</v>
          </cell>
          <cell r="H11">
            <v>1500</v>
          </cell>
          <cell r="I11" t="str">
            <v>TEBN252C</v>
          </cell>
        </row>
        <row r="12">
          <cell r="A12" t="str">
            <v>66-1a</v>
          </cell>
          <cell r="B12" t="str">
            <v>Hector Paz</v>
          </cell>
          <cell r="C12" t="str">
            <v>Ing. Hernández</v>
          </cell>
          <cell r="D12" t="str">
            <v>6-641-725</v>
          </cell>
          <cell r="E12" t="str">
            <v>TGU</v>
          </cell>
          <cell r="F12">
            <v>35881</v>
          </cell>
          <cell r="G12">
            <v>35915</v>
          </cell>
          <cell r="H12">
            <v>1600</v>
          </cell>
          <cell r="I12" t="str">
            <v>TEGN253BNC</v>
          </cell>
        </row>
        <row r="13">
          <cell r="A13" t="str">
            <v>66-1b</v>
          </cell>
          <cell r="B13" t="str">
            <v>Hector Paz</v>
          </cell>
          <cell r="C13" t="str">
            <v>Ing. Hernández</v>
          </cell>
          <cell r="D13" t="str">
            <v>6-641-725</v>
          </cell>
          <cell r="E13" t="str">
            <v>TGU</v>
          </cell>
          <cell r="F13">
            <v>35881</v>
          </cell>
          <cell r="G13">
            <v>35915</v>
          </cell>
          <cell r="H13">
            <v>2900</v>
          </cell>
          <cell r="I13" t="str">
            <v>TEGN253BNC</v>
          </cell>
        </row>
        <row r="14">
          <cell r="A14" t="str">
            <v>N/A</v>
          </cell>
          <cell r="B14" t="str">
            <v>Ismael Irias</v>
          </cell>
          <cell r="C14" t="str">
            <v>Ing. Oscar Hernández</v>
          </cell>
          <cell r="E14" t="str">
            <v>TGU</v>
          </cell>
          <cell r="F14">
            <v>35917</v>
          </cell>
          <cell r="G14">
            <v>35917</v>
          </cell>
          <cell r="H14">
            <v>110</v>
          </cell>
          <cell r="I14" t="str">
            <v>TEBS30</v>
          </cell>
        </row>
        <row r="15">
          <cell r="A15" t="str">
            <v>225-01</v>
          </cell>
          <cell r="B15" t="str">
            <v>Jorge Lagos</v>
          </cell>
          <cell r="C15" t="str">
            <v>Norma</v>
          </cell>
          <cell r="D15" t="str">
            <v>232-9596</v>
          </cell>
          <cell r="E15" t="str">
            <v>TGU</v>
          </cell>
          <cell r="F15">
            <v>35956</v>
          </cell>
          <cell r="G15">
            <v>35986</v>
          </cell>
          <cell r="H15">
            <v>4250</v>
          </cell>
          <cell r="I15" t="str">
            <v>TEGN253BCN</v>
          </cell>
        </row>
        <row r="16">
          <cell r="A16">
            <v>227</v>
          </cell>
          <cell r="B16" t="str">
            <v>José Lopez</v>
          </cell>
          <cell r="C16" t="str">
            <v>Norma</v>
          </cell>
          <cell r="D16" t="str">
            <v>230-4625</v>
          </cell>
          <cell r="E16" t="str">
            <v>TGU</v>
          </cell>
          <cell r="F16">
            <v>35961</v>
          </cell>
          <cell r="G16">
            <v>35986</v>
          </cell>
          <cell r="H16">
            <v>1100</v>
          </cell>
          <cell r="I16" t="str">
            <v>TEBN253C</v>
          </cell>
        </row>
        <row r="17">
          <cell r="A17">
            <v>222</v>
          </cell>
          <cell r="B17" t="str">
            <v>Raúl Zelaya</v>
          </cell>
          <cell r="C17" t="str">
            <v>Norma</v>
          </cell>
          <cell r="D17" t="str">
            <v>239-1254</v>
          </cell>
          <cell r="E17" t="str">
            <v>TGU</v>
          </cell>
          <cell r="F17">
            <v>35954</v>
          </cell>
          <cell r="G17">
            <v>35979</v>
          </cell>
          <cell r="H17">
            <v>1008</v>
          </cell>
          <cell r="I17" t="str">
            <v>TEGN252B</v>
          </cell>
        </row>
        <row r="18">
          <cell r="A18" t="str">
            <v>231-01</v>
          </cell>
          <cell r="B18" t="str">
            <v>Alfonso López</v>
          </cell>
          <cell r="C18" t="str">
            <v>Norma</v>
          </cell>
          <cell r="D18" t="str">
            <v>224-1497</v>
          </cell>
          <cell r="E18" t="str">
            <v>TGU</v>
          </cell>
          <cell r="F18">
            <v>35965</v>
          </cell>
          <cell r="G18">
            <v>35990</v>
          </cell>
          <cell r="H18">
            <v>1000</v>
          </cell>
          <cell r="I18" t="str">
            <v>TEGN252B</v>
          </cell>
        </row>
        <row r="19">
          <cell r="A19" t="str">
            <v>231-02</v>
          </cell>
          <cell r="B19" t="str">
            <v>Alfonso López</v>
          </cell>
          <cell r="C19" t="str">
            <v>Norma</v>
          </cell>
          <cell r="D19" t="str">
            <v>224-1497</v>
          </cell>
          <cell r="E19" t="str">
            <v>TGU</v>
          </cell>
          <cell r="F19">
            <v>35965</v>
          </cell>
          <cell r="G19">
            <v>35990</v>
          </cell>
          <cell r="H19">
            <v>600</v>
          </cell>
          <cell r="I19" t="str">
            <v>TEGN252B</v>
          </cell>
        </row>
        <row r="20">
          <cell r="A20">
            <v>57</v>
          </cell>
          <cell r="B20" t="str">
            <v>Constructora Simon</v>
          </cell>
          <cell r="C20" t="str">
            <v>Cinthya Simón</v>
          </cell>
          <cell r="D20" t="str">
            <v>232-5305</v>
          </cell>
          <cell r="E20" t="str">
            <v>TGU</v>
          </cell>
          <cell r="F20">
            <v>35810</v>
          </cell>
          <cell r="G20">
            <v>35870</v>
          </cell>
          <cell r="H20">
            <v>88000</v>
          </cell>
          <cell r="I20" t="str">
            <v>TEGN252B</v>
          </cell>
        </row>
        <row r="21">
          <cell r="A21">
            <v>83</v>
          </cell>
          <cell r="B21" t="str">
            <v>Contratistas Asociados</v>
          </cell>
          <cell r="C21" t="str">
            <v>Armando Hernández</v>
          </cell>
          <cell r="D21" t="str">
            <v>230-0944</v>
          </cell>
          <cell r="E21" t="str">
            <v>TGU</v>
          </cell>
          <cell r="F21">
            <v>35987</v>
          </cell>
          <cell r="G21">
            <v>36012</v>
          </cell>
          <cell r="H21">
            <v>5000</v>
          </cell>
          <cell r="I21" t="str">
            <v>TEGN252B</v>
          </cell>
        </row>
        <row r="22">
          <cell r="A22">
            <v>240</v>
          </cell>
          <cell r="B22" t="str">
            <v>Consulco</v>
          </cell>
          <cell r="C22" t="str">
            <v>Norma</v>
          </cell>
          <cell r="D22" t="str">
            <v>239-5719</v>
          </cell>
          <cell r="E22" t="str">
            <v>TGU</v>
          </cell>
          <cell r="F22">
            <v>36018</v>
          </cell>
          <cell r="G22">
            <v>36026</v>
          </cell>
          <cell r="H22">
            <v>430</v>
          </cell>
          <cell r="I22" t="str">
            <v>TEGN252B</v>
          </cell>
        </row>
        <row r="23">
          <cell r="A23" t="str">
            <v>172-02</v>
          </cell>
          <cell r="B23" t="str">
            <v>Carlos Elvir</v>
          </cell>
          <cell r="C23" t="str">
            <v>Sandra Flores</v>
          </cell>
          <cell r="D23" t="str">
            <v>448-1314</v>
          </cell>
          <cell r="E23" t="str">
            <v>SPS</v>
          </cell>
          <cell r="F23">
            <v>35991</v>
          </cell>
          <cell r="G23">
            <v>36021</v>
          </cell>
          <cell r="H23">
            <v>1083</v>
          </cell>
          <cell r="I23" t="str">
            <v>TEGN253BC</v>
          </cell>
        </row>
        <row r="24">
          <cell r="A24">
            <v>177</v>
          </cell>
          <cell r="B24" t="str">
            <v>Alfredo Hernández</v>
          </cell>
          <cell r="C24" t="str">
            <v>Sandra Flores</v>
          </cell>
          <cell r="D24" t="str">
            <v>559-7731</v>
          </cell>
          <cell r="E24" t="str">
            <v>SPS</v>
          </cell>
          <cell r="F24">
            <v>36001</v>
          </cell>
          <cell r="G24">
            <v>36033</v>
          </cell>
          <cell r="H24">
            <v>600</v>
          </cell>
          <cell r="I24" t="str">
            <v>TEGN253BN</v>
          </cell>
        </row>
        <row r="25">
          <cell r="A25">
            <v>78</v>
          </cell>
          <cell r="B25" t="str">
            <v>I. P.M.</v>
          </cell>
          <cell r="C25" t="str">
            <v>Fredy Argueñal</v>
          </cell>
          <cell r="D25" t="str">
            <v>234-4814</v>
          </cell>
          <cell r="E25" t="str">
            <v>TGU</v>
          </cell>
          <cell r="F25">
            <v>35934</v>
          </cell>
          <cell r="G25">
            <v>35949</v>
          </cell>
          <cell r="H25">
            <v>6000</v>
          </cell>
          <cell r="I25" t="str">
            <v>TEGN253BN</v>
          </cell>
        </row>
        <row r="26">
          <cell r="A26">
            <v>176</v>
          </cell>
          <cell r="B26" t="str">
            <v>Jorge Molina</v>
          </cell>
          <cell r="C26" t="str">
            <v>Sandra Flores</v>
          </cell>
          <cell r="D26" t="str">
            <v>559-4578</v>
          </cell>
          <cell r="E26" t="str">
            <v>SPS</v>
          </cell>
          <cell r="F26">
            <v>36001</v>
          </cell>
          <cell r="G26">
            <v>36033</v>
          </cell>
          <cell r="H26">
            <v>650</v>
          </cell>
          <cell r="I26" t="str">
            <v>TEGN253BN</v>
          </cell>
        </row>
        <row r="27">
          <cell r="A27">
            <v>9</v>
          </cell>
          <cell r="B27" t="str">
            <v>Efraín Martinez</v>
          </cell>
          <cell r="C27" t="str">
            <v>Karla</v>
          </cell>
          <cell r="E27" t="str">
            <v>Amarateca</v>
          </cell>
          <cell r="F27">
            <v>36003</v>
          </cell>
          <cell r="G27">
            <v>36034</v>
          </cell>
          <cell r="H27">
            <v>1500</v>
          </cell>
          <cell r="I27" t="str">
            <v>TEGN253BN</v>
          </cell>
        </row>
        <row r="28">
          <cell r="A28">
            <v>183</v>
          </cell>
          <cell r="B28" t="str">
            <v>María Cruz</v>
          </cell>
          <cell r="C28" t="str">
            <v>Sandra Flores</v>
          </cell>
          <cell r="D28" t="str">
            <v>559-7731</v>
          </cell>
          <cell r="E28" t="str">
            <v>SPS</v>
          </cell>
          <cell r="F28">
            <v>36019</v>
          </cell>
          <cell r="G28">
            <v>36040</v>
          </cell>
          <cell r="H28">
            <v>1050</v>
          </cell>
          <cell r="I28" t="str">
            <v>TEGN253BN</v>
          </cell>
        </row>
        <row r="29">
          <cell r="A29">
            <v>236</v>
          </cell>
          <cell r="B29" t="str">
            <v>Fudena</v>
          </cell>
          <cell r="C29" t="str">
            <v>Norma</v>
          </cell>
          <cell r="D29" t="str">
            <v>223-3555</v>
          </cell>
          <cell r="E29" t="str">
            <v>TGU</v>
          </cell>
          <cell r="F29">
            <v>35989</v>
          </cell>
          <cell r="G29">
            <v>36019</v>
          </cell>
          <cell r="H29">
            <v>8000</v>
          </cell>
          <cell r="I29" t="str">
            <v>TEGN253BNC</v>
          </cell>
        </row>
        <row r="30">
          <cell r="A30">
            <v>237</v>
          </cell>
          <cell r="B30" t="str">
            <v>Fudena</v>
          </cell>
          <cell r="C30" t="str">
            <v>Norma</v>
          </cell>
          <cell r="D30" t="str">
            <v>223-3555</v>
          </cell>
          <cell r="E30" t="str">
            <v>TGU</v>
          </cell>
          <cell r="F30">
            <v>36000</v>
          </cell>
          <cell r="G30">
            <v>36019</v>
          </cell>
          <cell r="H30">
            <v>12000</v>
          </cell>
          <cell r="I30" t="str">
            <v>TEGN253BNC</v>
          </cell>
        </row>
        <row r="31">
          <cell r="A31" t="str">
            <v>75-01</v>
          </cell>
          <cell r="B31" t="str">
            <v>Inmobiliaria Los Cedros</v>
          </cell>
          <cell r="C31" t="str">
            <v>Douglas Valladares</v>
          </cell>
          <cell r="E31" t="str">
            <v>TGU</v>
          </cell>
          <cell r="F31">
            <v>35921</v>
          </cell>
          <cell r="G31">
            <v>35951</v>
          </cell>
          <cell r="H31">
            <v>1350</v>
          </cell>
          <cell r="I31" t="str">
            <v>TEGN253BNC</v>
          </cell>
        </row>
        <row r="32">
          <cell r="A32" t="str">
            <v>225-02</v>
          </cell>
          <cell r="B32" t="str">
            <v>Jorge Lagos</v>
          </cell>
          <cell r="C32" t="str">
            <v>Norma</v>
          </cell>
          <cell r="D32" t="str">
            <v>232-9596</v>
          </cell>
          <cell r="E32" t="str">
            <v>TGU</v>
          </cell>
          <cell r="F32">
            <v>35956</v>
          </cell>
          <cell r="G32">
            <v>35986</v>
          </cell>
          <cell r="H32">
            <v>4250</v>
          </cell>
          <cell r="I32" t="str">
            <v>TEGN253BNC</v>
          </cell>
        </row>
        <row r="33">
          <cell r="A33">
            <v>79</v>
          </cell>
          <cell r="B33" t="str">
            <v>La Constancia</v>
          </cell>
          <cell r="C33" t="str">
            <v>Ing. Padilla</v>
          </cell>
          <cell r="D33" t="str">
            <v>237-1262</v>
          </cell>
          <cell r="E33" t="str">
            <v>TGU</v>
          </cell>
          <cell r="F33">
            <v>35934</v>
          </cell>
          <cell r="G33">
            <v>35970</v>
          </cell>
          <cell r="H33">
            <v>3000</v>
          </cell>
          <cell r="I33" t="str">
            <v>TEGN253BNC</v>
          </cell>
        </row>
        <row r="34">
          <cell r="A34">
            <v>175</v>
          </cell>
          <cell r="B34" t="str">
            <v>Lecilia Martínez</v>
          </cell>
          <cell r="C34" t="str">
            <v>Sandra Flores</v>
          </cell>
          <cell r="D34" t="str">
            <v>559-7731</v>
          </cell>
          <cell r="E34" t="str">
            <v>SPS</v>
          </cell>
          <cell r="F34">
            <v>36000</v>
          </cell>
          <cell r="G34">
            <v>36025</v>
          </cell>
          <cell r="H34">
            <v>350</v>
          </cell>
          <cell r="I34" t="str">
            <v>TEGN253BNC</v>
          </cell>
        </row>
        <row r="35">
          <cell r="A35">
            <v>179</v>
          </cell>
          <cell r="B35" t="str">
            <v>Alvaro Ramos</v>
          </cell>
          <cell r="C35" t="str">
            <v>Sandra Flores</v>
          </cell>
          <cell r="D35" t="str">
            <v>559-7731</v>
          </cell>
          <cell r="E35" t="str">
            <v>SPS</v>
          </cell>
          <cell r="F35">
            <v>36005</v>
          </cell>
          <cell r="G35">
            <v>36024</v>
          </cell>
          <cell r="H35">
            <v>3600</v>
          </cell>
          <cell r="I35" t="str">
            <v>TEGN253BNC</v>
          </cell>
        </row>
        <row r="36">
          <cell r="A36">
            <v>109</v>
          </cell>
          <cell r="B36" t="str">
            <v>Rosa María Galindo</v>
          </cell>
          <cell r="C36" t="str">
            <v>Sandra Flores</v>
          </cell>
          <cell r="D36" t="str">
            <v>559-7731</v>
          </cell>
          <cell r="E36" t="str">
            <v>SPS</v>
          </cell>
          <cell r="F36">
            <v>35825</v>
          </cell>
          <cell r="G36">
            <v>35966</v>
          </cell>
          <cell r="H36">
            <v>11000</v>
          </cell>
          <cell r="I36" t="str">
            <v>TEGN253BCO</v>
          </cell>
        </row>
        <row r="37">
          <cell r="A37">
            <v>173</v>
          </cell>
          <cell r="B37" t="str">
            <v>German Enamorado</v>
          </cell>
          <cell r="C37" t="str">
            <v>Sandra Flores</v>
          </cell>
          <cell r="D37" t="str">
            <v>554-3151</v>
          </cell>
          <cell r="E37" t="str">
            <v>SPS</v>
          </cell>
          <cell r="F37">
            <v>35992</v>
          </cell>
          <cell r="G37">
            <v>36027</v>
          </cell>
          <cell r="H37">
            <v>1872</v>
          </cell>
          <cell r="I37" t="str">
            <v>TEGN252BO</v>
          </cell>
        </row>
        <row r="38">
          <cell r="A38">
            <v>161</v>
          </cell>
          <cell r="B38" t="str">
            <v>Sergio Sanchez</v>
          </cell>
          <cell r="C38" t="str">
            <v>Sandra Flores</v>
          </cell>
          <cell r="D38" t="str">
            <v>559-2929</v>
          </cell>
          <cell r="E38" t="str">
            <v>SPS</v>
          </cell>
          <cell r="F38">
            <v>35964</v>
          </cell>
          <cell r="G38">
            <v>35989</v>
          </cell>
          <cell r="H38">
            <v>1500</v>
          </cell>
          <cell r="I38" t="str">
            <v>TEBN252BN</v>
          </cell>
        </row>
        <row r="39">
          <cell r="A39" t="str">
            <v>164-01</v>
          </cell>
          <cell r="B39" t="str">
            <v>Cooperativa Pinalejo</v>
          </cell>
          <cell r="C39" t="str">
            <v>Sandra Flores</v>
          </cell>
          <cell r="D39" t="str">
            <v>898-7060</v>
          </cell>
          <cell r="E39" t="str">
            <v>SPS</v>
          </cell>
          <cell r="F39">
            <v>35965</v>
          </cell>
          <cell r="G39">
            <v>35998</v>
          </cell>
          <cell r="H39">
            <v>1330</v>
          </cell>
          <cell r="I39" t="str">
            <v>TEGN303B</v>
          </cell>
        </row>
        <row r="40">
          <cell r="A40" t="str">
            <v>164-02</v>
          </cell>
          <cell r="B40" t="str">
            <v>Cooperativa Pinalejo</v>
          </cell>
          <cell r="C40" t="str">
            <v>Sandra Flores</v>
          </cell>
          <cell r="D40" t="str">
            <v>898-7060</v>
          </cell>
          <cell r="E40" t="str">
            <v>SPS</v>
          </cell>
          <cell r="F40">
            <v>35965</v>
          </cell>
          <cell r="G40">
            <v>35998</v>
          </cell>
          <cell r="H40">
            <v>953</v>
          </cell>
          <cell r="I40" t="str">
            <v>TEGN303B</v>
          </cell>
        </row>
        <row r="41">
          <cell r="A41">
            <v>84</v>
          </cell>
          <cell r="B41" t="str">
            <v>Inmobiliaria S.A.</v>
          </cell>
          <cell r="C41" t="str">
            <v>Javier Rivera</v>
          </cell>
          <cell r="D41" t="str">
            <v>239-0517</v>
          </cell>
          <cell r="E41" t="str">
            <v>TGU</v>
          </cell>
          <cell r="F41">
            <v>35991</v>
          </cell>
          <cell r="G41">
            <v>36007</v>
          </cell>
          <cell r="H41">
            <v>24000</v>
          </cell>
          <cell r="I41" t="str">
            <v>TEGN303B</v>
          </cell>
        </row>
        <row r="42">
          <cell r="A42">
            <v>174</v>
          </cell>
          <cell r="B42" t="str">
            <v>Reinaldo Matute</v>
          </cell>
          <cell r="C42" t="str">
            <v>Sandra Flores</v>
          </cell>
          <cell r="D42" t="str">
            <v>553-0607</v>
          </cell>
          <cell r="E42" t="str">
            <v>SPS</v>
          </cell>
          <cell r="F42">
            <v>35993</v>
          </cell>
          <cell r="G42">
            <v>36028</v>
          </cell>
          <cell r="H42">
            <v>1320</v>
          </cell>
          <cell r="I42" t="str">
            <v>TEGN302BO</v>
          </cell>
        </row>
        <row r="43">
          <cell r="A43">
            <v>145</v>
          </cell>
          <cell r="B43" t="str">
            <v>Salvador Alfaro</v>
          </cell>
          <cell r="C43" t="str">
            <v>Sandra Flores</v>
          </cell>
          <cell r="D43" t="str">
            <v>559-7731</v>
          </cell>
          <cell r="E43" t="str">
            <v>SPS</v>
          </cell>
          <cell r="F43">
            <v>35950</v>
          </cell>
          <cell r="G43">
            <v>35979</v>
          </cell>
          <cell r="H43">
            <v>260</v>
          </cell>
          <cell r="I43" t="str">
            <v>TEGN302CO</v>
          </cell>
        </row>
        <row r="44">
          <cell r="A44">
            <v>239</v>
          </cell>
          <cell r="B44" t="str">
            <v>Griselda Martinez</v>
          </cell>
          <cell r="C44" t="str">
            <v>Norma</v>
          </cell>
          <cell r="D44" t="str">
            <v>232-9846</v>
          </cell>
          <cell r="E44" t="str">
            <v>TGU</v>
          </cell>
          <cell r="F44">
            <v>36012</v>
          </cell>
          <cell r="G44">
            <v>36042</v>
          </cell>
          <cell r="H44">
            <v>1968</v>
          </cell>
          <cell r="I44" t="str">
            <v>TEGN303BCO</v>
          </cell>
        </row>
        <row r="45">
          <cell r="A45">
            <v>178</v>
          </cell>
          <cell r="B45" t="str">
            <v>Ruperto Ruiz</v>
          </cell>
          <cell r="C45" t="str">
            <v>Sandra Flores</v>
          </cell>
          <cell r="D45" t="str">
            <v>557-6288</v>
          </cell>
          <cell r="E45" t="str">
            <v>SPS</v>
          </cell>
          <cell r="F45">
            <v>36005</v>
          </cell>
          <cell r="G45">
            <v>36034</v>
          </cell>
          <cell r="H45">
            <v>900</v>
          </cell>
          <cell r="I45" t="str">
            <v>TEBN302BC</v>
          </cell>
        </row>
        <row r="46">
          <cell r="A46">
            <v>169</v>
          </cell>
          <cell r="B46" t="str">
            <v>Zip Bufalo</v>
          </cell>
          <cell r="C46" t="str">
            <v>Sandra Flores</v>
          </cell>
          <cell r="D46" t="str">
            <v>554-9501</v>
          </cell>
          <cell r="E46" t="str">
            <v>SPS</v>
          </cell>
          <cell r="F46">
            <v>35980</v>
          </cell>
          <cell r="G46">
            <v>36014</v>
          </cell>
          <cell r="H46">
            <v>14700</v>
          </cell>
          <cell r="I46" t="str">
            <v>TEBN303B</v>
          </cell>
        </row>
        <row r="47">
          <cell r="A47">
            <v>241</v>
          </cell>
          <cell r="B47" t="str">
            <v>Cosin</v>
          </cell>
          <cell r="C47" t="str">
            <v>Norma</v>
          </cell>
          <cell r="D47" t="str">
            <v>234-1251</v>
          </cell>
          <cell r="E47" t="str">
            <v>TGU</v>
          </cell>
          <cell r="F47">
            <v>36010</v>
          </cell>
          <cell r="G47">
            <v>36029</v>
          </cell>
          <cell r="H47">
            <v>1620</v>
          </cell>
          <cell r="I47" t="str">
            <v>TEBN303B</v>
          </cell>
        </row>
        <row r="48">
          <cell r="A48">
            <v>180</v>
          </cell>
          <cell r="B48" t="str">
            <v>Zoila Martinez</v>
          </cell>
          <cell r="C48" t="str">
            <v>Sandra Flores</v>
          </cell>
          <cell r="D48" t="str">
            <v>440-0027</v>
          </cell>
          <cell r="E48" t="str">
            <v>SPS</v>
          </cell>
          <cell r="F48">
            <v>36005</v>
          </cell>
          <cell r="G48">
            <v>36032</v>
          </cell>
          <cell r="H48">
            <v>1713</v>
          </cell>
          <cell r="I48" t="str">
            <v>TEBN302BC1O</v>
          </cell>
        </row>
        <row r="49">
          <cell r="A49">
            <v>242</v>
          </cell>
          <cell r="B49" t="str">
            <v>Rosario Castillo</v>
          </cell>
          <cell r="C49" t="str">
            <v>Norma</v>
          </cell>
          <cell r="D49" t="str">
            <v>239-5719</v>
          </cell>
          <cell r="E49" t="str">
            <v>TGU</v>
          </cell>
          <cell r="F49">
            <v>36025</v>
          </cell>
          <cell r="G49">
            <v>36042</v>
          </cell>
          <cell r="H49">
            <v>850</v>
          </cell>
          <cell r="I49" t="str">
            <v>TEBN303N</v>
          </cell>
        </row>
        <row r="50">
          <cell r="A50">
            <v>184</v>
          </cell>
          <cell r="B50" t="str">
            <v>Maria Lozano</v>
          </cell>
          <cell r="C50" t="str">
            <v>Sandra Flores</v>
          </cell>
          <cell r="D50" t="str">
            <v>559-7731</v>
          </cell>
          <cell r="E50" t="str">
            <v>SPS</v>
          </cell>
          <cell r="F50">
            <v>36027</v>
          </cell>
          <cell r="G50">
            <v>36057</v>
          </cell>
          <cell r="H50">
            <v>500</v>
          </cell>
          <cell r="I50" t="str">
            <v>TEGN253C</v>
          </cell>
        </row>
      </sheetData>
      <sheetData sheetId="1"/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ranklin" refreshedDate="41927.754365972221" createdVersion="4" refreshedVersion="4" minRefreshableVersion="3" recordCount="19">
  <cacheSource type="worksheet">
    <worksheetSource name="Tabla2"/>
  </cacheSource>
  <cacheFields count="5">
    <cacheField name="Material" numFmtId="40">
      <sharedItems count="8">
        <s v="Cemento"/>
        <s v="Arena Comun"/>
        <s v="Grava de Rio"/>
        <s v="Agua"/>
        <s v="Clavos"/>
        <s v="Madera"/>
        <s v="Piedra"/>
        <s v="Tubería PVC 3&quot; diám."/>
      </sharedItems>
    </cacheField>
    <cacheField name="Rendimiento" numFmtId="0">
      <sharedItems containsSemiMixedTypes="0" containsString="0" containsNumber="1" minValue="8.8000000000000005E-3" maxValue="33.185000000000002"/>
    </cacheField>
    <cacheField name="Cantidad" numFmtId="0">
      <sharedItems containsSemiMixedTypes="0" containsString="0" containsNumber="1" minValue="9" maxValue="1994.94"/>
    </cacheField>
    <cacheField name="Total" numFmtId="4">
      <sharedItems containsSemiMixedTypes="0" containsString="0" containsNumber="1" minValue="2.6892" maxValue="20121.662"/>
    </cacheField>
    <cacheField name="Actividad" numFmtId="0">
      <sharedItems count="3">
        <s v="BORDILLO DE 15X15 CM"/>
        <s v="CONCRETO DE 210 KG/CM"/>
        <s v="ESTRUCTURA DE MAMPOSTERI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">
  <r>
    <x v="0"/>
    <n v="0.2276"/>
    <n v="1994.94"/>
    <n v="454.04834399999999"/>
    <x v="0"/>
  </r>
  <r>
    <x v="1"/>
    <n v="1.2800000000000001E-2"/>
    <n v="1994.94"/>
    <n v="25.535232000000001"/>
    <x v="0"/>
  </r>
  <r>
    <x v="2"/>
    <n v="1.2800000000000001E-2"/>
    <n v="1994.94"/>
    <n v="25.535232000000001"/>
    <x v="0"/>
  </r>
  <r>
    <x v="3"/>
    <n v="8.8000000000000005E-3"/>
    <n v="1994.94"/>
    <n v="17.555472000000002"/>
    <x v="0"/>
  </r>
  <r>
    <x v="4"/>
    <n v="5.6000000000000001E-2"/>
    <n v="1994.94"/>
    <n v="111.71664000000001"/>
    <x v="0"/>
  </r>
  <r>
    <x v="5"/>
    <n v="1.3959999999999999"/>
    <n v="1994.94"/>
    <n v="2784.93624"/>
    <x v="0"/>
  </r>
  <r>
    <x v="3"/>
    <n v="23.32"/>
    <n v="862.85"/>
    <n v="20121.662"/>
    <x v="1"/>
  </r>
  <r>
    <x v="2"/>
    <n v="0.55200000000000005"/>
    <n v="862.85"/>
    <n v="476.29320000000007"/>
    <x v="1"/>
  </r>
  <r>
    <x v="1"/>
    <n v="0.55200000000000005"/>
    <n v="862.85"/>
    <n v="476.29320000000007"/>
    <x v="1"/>
  </r>
  <r>
    <x v="0"/>
    <n v="10"/>
    <n v="862.85"/>
    <n v="8628.5"/>
    <x v="1"/>
  </r>
  <r>
    <x v="5"/>
    <n v="4"/>
    <n v="862.85"/>
    <n v="3451.4"/>
    <x v="1"/>
  </r>
  <r>
    <x v="4"/>
    <n v="5.2"/>
    <n v="862.85"/>
    <n v="4486.8200000000006"/>
    <x v="1"/>
  </r>
  <r>
    <x v="6"/>
    <n v="1.01"/>
    <n v="9"/>
    <n v="9.09"/>
    <x v="2"/>
  </r>
  <r>
    <x v="5"/>
    <n v="5.3819999999999997"/>
    <n v="9"/>
    <n v="48.437999999999995"/>
    <x v="2"/>
  </r>
  <r>
    <x v="4"/>
    <n v="0.56200000000000006"/>
    <n v="9"/>
    <n v="5.0580000000000007"/>
    <x v="2"/>
  </r>
  <r>
    <x v="7"/>
    <n v="1"/>
    <n v="9"/>
    <n v="9"/>
    <x v="2"/>
  </r>
  <r>
    <x v="0"/>
    <n v="4.1117999999999997"/>
    <n v="9"/>
    <n v="37.0062"/>
    <x v="2"/>
  </r>
  <r>
    <x v="1"/>
    <n v="0.29880000000000001"/>
    <n v="9"/>
    <n v="2.6892"/>
    <x v="2"/>
  </r>
  <r>
    <x v="3"/>
    <n v="33.185000000000002"/>
    <n v="9"/>
    <n v="298.66500000000002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1:E11" firstHeaderRow="1" firstDataRow="2" firstDataCol="1"/>
  <pivotFields count="5">
    <pivotField axis="axisRow" showAll="0">
      <items count="9">
        <item x="3"/>
        <item x="1"/>
        <item x="0"/>
        <item x="4"/>
        <item x="2"/>
        <item x="5"/>
        <item x="6"/>
        <item x="7"/>
        <item t="default"/>
      </items>
    </pivotField>
    <pivotField showAll="0"/>
    <pivotField showAll="0"/>
    <pivotField dataField="1" numFmtId="4" showAll="0"/>
    <pivotField axis="axisCol" showAll="0">
      <items count="4">
        <item x="0"/>
        <item x="1"/>
        <item x="2"/>
        <item t="default"/>
      </items>
    </pivotField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Suma de Total" fld="3" baseField="0" baseItem="0"/>
  </dataFields>
  <formats count="1">
    <format dxfId="0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Tabla2" displayName="Tabla2" ref="A1:E20" totalsRowShown="0" headerRowDxfId="5">
  <autoFilter ref="A1:E20"/>
  <tableColumns count="5">
    <tableColumn id="1" name="Material" dataDxfId="4">
      <calculatedColumnFormula>#REF!</calculatedColumnFormula>
    </tableColumn>
    <tableColumn id="2" name="Rendimiento">
      <calculatedColumnFormula>#REF!</calculatedColumnFormula>
    </tableColumn>
    <tableColumn id="3" name="Cantidad" dataDxfId="3">
      <calculatedColumnFormula>Presupuesto!#REF!</calculatedColumnFormula>
    </tableColumn>
    <tableColumn id="4" name="Total" dataDxfId="2">
      <calculatedColumnFormula>B2*C2</calculatedColumnFormula>
    </tableColumn>
    <tableColumn id="5" name="Actividad" dataDxfId="1">
      <calculatedColumnFormula>#REF!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43"/>
  <sheetViews>
    <sheetView showGridLines="0" tabSelected="1" showWhiteSpace="0" view="pageBreakPreview" zoomScale="85" zoomScaleSheetLayoutView="85" workbookViewId="0">
      <selection activeCell="O8" sqref="O8"/>
    </sheetView>
  </sheetViews>
  <sheetFormatPr baseColWidth="10" defaultColWidth="11.42578125" defaultRowHeight="12.75"/>
  <cols>
    <col min="1" max="1" width="5.5703125" style="83" customWidth="1"/>
    <col min="2" max="2" width="5.7109375" style="92" customWidth="1"/>
    <col min="3" max="3" width="57.85546875" style="84" customWidth="1"/>
    <col min="4" max="4" width="11" style="84" customWidth="1"/>
    <col min="5" max="5" width="13.85546875" style="96" customWidth="1"/>
    <col min="6" max="6" width="13.85546875" style="94" hidden="1" customWidth="1"/>
    <col min="7" max="7" width="14.85546875" style="96" hidden="1" customWidth="1"/>
    <col min="8" max="8" width="15.5703125" style="96" customWidth="1"/>
    <col min="9" max="9" width="15.85546875" style="96" customWidth="1"/>
    <col min="10" max="10" width="13.5703125" style="80" customWidth="1"/>
    <col min="11" max="12" width="14.28515625" style="80" hidden="1" customWidth="1"/>
    <col min="13" max="13" width="11.42578125" style="80"/>
    <col min="14" max="14" width="16.7109375" style="80" bestFit="1" customWidth="1"/>
    <col min="15" max="16384" width="11.42578125" style="80"/>
  </cols>
  <sheetData>
    <row r="1" spans="1:16" ht="20.25" customHeight="1">
      <c r="B1" s="306" t="s">
        <v>326</v>
      </c>
      <c r="C1" s="306"/>
      <c r="D1" s="306"/>
      <c r="E1" s="306"/>
      <c r="F1" s="306"/>
      <c r="G1" s="306"/>
      <c r="H1" s="306"/>
      <c r="I1" s="306"/>
    </row>
    <row r="3" spans="1:16" ht="14.25" customHeight="1"/>
    <row r="4" spans="1:16" ht="14.25" customHeight="1">
      <c r="B4" s="307" t="s">
        <v>290</v>
      </c>
      <c r="C4" s="307"/>
      <c r="D4" s="307"/>
      <c r="E4" s="307"/>
      <c r="F4" s="307"/>
      <c r="G4" s="307"/>
      <c r="H4" s="307"/>
      <c r="I4" s="307"/>
    </row>
    <row r="5" spans="1:16" ht="14.25" customHeight="1">
      <c r="B5" s="307"/>
      <c r="C5" s="307"/>
      <c r="D5" s="307"/>
      <c r="E5" s="307"/>
      <c r="F5" s="307"/>
      <c r="G5" s="307"/>
      <c r="H5" s="307"/>
      <c r="I5" s="307"/>
    </row>
    <row r="6" spans="1:16" ht="30.75" customHeight="1">
      <c r="A6" s="99"/>
      <c r="B6" s="308" t="s">
        <v>291</v>
      </c>
      <c r="C6" s="308"/>
      <c r="D6" s="308"/>
      <c r="E6" s="308"/>
      <c r="F6" s="308"/>
      <c r="G6" s="308"/>
      <c r="H6" s="308"/>
      <c r="I6" s="308"/>
    </row>
    <row r="7" spans="1:16" ht="23.25" customHeight="1">
      <c r="A7" s="99"/>
      <c r="B7" s="309" t="s">
        <v>292</v>
      </c>
      <c r="C7" s="309"/>
      <c r="D7" s="309"/>
      <c r="E7" s="309"/>
      <c r="F7" s="309"/>
      <c r="G7" s="309"/>
      <c r="H7" s="309"/>
      <c r="I7" s="309"/>
      <c r="N7" s="158"/>
    </row>
    <row r="8" spans="1:16" ht="35.25" customHeight="1">
      <c r="A8" s="99"/>
      <c r="B8" s="308" t="s">
        <v>273</v>
      </c>
      <c r="C8" s="308"/>
      <c r="D8" s="277" t="s">
        <v>193</v>
      </c>
      <c r="E8" s="278" t="s">
        <v>177</v>
      </c>
      <c r="F8" s="310" t="s">
        <v>0</v>
      </c>
      <c r="G8" s="310"/>
      <c r="H8" s="278" t="s">
        <v>274</v>
      </c>
      <c r="I8" s="278" t="s">
        <v>275</v>
      </c>
      <c r="N8" s="158"/>
    </row>
    <row r="9" spans="1:16" ht="24.75" customHeight="1">
      <c r="A9" s="100"/>
      <c r="B9" s="280">
        <v>1.1000000000000001</v>
      </c>
      <c r="C9" s="289" t="s">
        <v>300</v>
      </c>
      <c r="D9" s="281" t="s">
        <v>38</v>
      </c>
      <c r="E9" s="293">
        <v>1</v>
      </c>
      <c r="F9" s="208" t="e">
        <f>#REF!</f>
        <v>#REF!</v>
      </c>
      <c r="G9" s="209" t="e">
        <f>ROUND(E9*F9,2)</f>
        <v>#REF!</v>
      </c>
      <c r="H9" s="282"/>
      <c r="I9" s="290"/>
      <c r="N9" s="157"/>
    </row>
    <row r="10" spans="1:16" ht="31.5" customHeight="1">
      <c r="A10" s="100"/>
      <c r="B10" s="280">
        <v>1.2</v>
      </c>
      <c r="C10" s="291" t="s">
        <v>294</v>
      </c>
      <c r="D10" s="281" t="s">
        <v>289</v>
      </c>
      <c r="E10" s="293">
        <f>2426.03+118+18+52.2</f>
        <v>2614.23</v>
      </c>
      <c r="F10" s="208" t="e">
        <f>#REF!</f>
        <v>#REF!</v>
      </c>
      <c r="G10" s="209" t="e">
        <f t="shared" ref="G10:G14" si="0">ROUND(E10*F10,2)</f>
        <v>#REF!</v>
      </c>
      <c r="H10" s="282"/>
      <c r="I10" s="290"/>
      <c r="M10" s="158"/>
      <c r="N10" s="157"/>
    </row>
    <row r="11" spans="1:16" ht="31.5" customHeight="1">
      <c r="A11" s="100"/>
      <c r="B11" s="280">
        <v>1.3</v>
      </c>
      <c r="C11" s="291" t="s">
        <v>293</v>
      </c>
      <c r="D11" s="281" t="s">
        <v>277</v>
      </c>
      <c r="E11" s="293">
        <v>1105</v>
      </c>
      <c r="F11" s="208"/>
      <c r="G11" s="209"/>
      <c r="H11" s="282"/>
      <c r="I11" s="290"/>
      <c r="M11" s="158"/>
      <c r="N11" s="157"/>
    </row>
    <row r="12" spans="1:16" ht="24.75" customHeight="1">
      <c r="A12" s="100"/>
      <c r="B12" s="280">
        <v>1.4</v>
      </c>
      <c r="C12" s="289" t="s">
        <v>306</v>
      </c>
      <c r="D12" s="281" t="s">
        <v>289</v>
      </c>
      <c r="E12" s="293">
        <v>221</v>
      </c>
      <c r="F12" s="208" t="e">
        <f>#REF!</f>
        <v>#REF!</v>
      </c>
      <c r="G12" s="209" t="e">
        <f t="shared" si="0"/>
        <v>#REF!</v>
      </c>
      <c r="H12" s="282"/>
      <c r="I12" s="290"/>
      <c r="M12" s="158"/>
      <c r="N12" s="157"/>
      <c r="P12" s="158"/>
    </row>
    <row r="13" spans="1:16" ht="44.25" customHeight="1">
      <c r="A13" s="100"/>
      <c r="B13" s="280">
        <v>1.5</v>
      </c>
      <c r="C13" s="291" t="s">
        <v>316</v>
      </c>
      <c r="D13" s="281" t="s">
        <v>277</v>
      </c>
      <c r="E13" s="293">
        <f>715+81</f>
        <v>796</v>
      </c>
      <c r="F13" s="208" t="e">
        <f>#REF!</f>
        <v>#REF!</v>
      </c>
      <c r="G13" s="209" t="e">
        <f t="shared" si="0"/>
        <v>#REF!</v>
      </c>
      <c r="H13" s="282"/>
      <c r="I13" s="290"/>
      <c r="N13" s="157"/>
    </row>
    <row r="14" spans="1:16" ht="33" customHeight="1">
      <c r="A14" s="100"/>
      <c r="B14" s="280">
        <v>1.6</v>
      </c>
      <c r="C14" s="291" t="s">
        <v>297</v>
      </c>
      <c r="D14" s="281" t="s">
        <v>278</v>
      </c>
      <c r="E14" s="293">
        <v>274</v>
      </c>
      <c r="F14" s="208" t="e">
        <f>#REF!</f>
        <v>#REF!</v>
      </c>
      <c r="G14" s="209" t="e">
        <f t="shared" si="0"/>
        <v>#REF!</v>
      </c>
      <c r="H14" s="282"/>
      <c r="I14" s="290"/>
      <c r="N14" s="157"/>
    </row>
    <row r="15" spans="1:16" ht="33" customHeight="1">
      <c r="A15" s="100"/>
      <c r="B15" s="280">
        <v>1.7</v>
      </c>
      <c r="C15" s="291" t="s">
        <v>311</v>
      </c>
      <c r="D15" s="281" t="s">
        <v>277</v>
      </c>
      <c r="E15" s="293">
        <v>57</v>
      </c>
      <c r="F15" s="208"/>
      <c r="G15" s="209"/>
      <c r="H15" s="282"/>
      <c r="I15" s="290"/>
      <c r="N15" s="157"/>
    </row>
    <row r="16" spans="1:16" ht="33" customHeight="1">
      <c r="A16" s="100"/>
      <c r="B16" s="280">
        <v>1.8</v>
      </c>
      <c r="C16" s="291" t="s">
        <v>312</v>
      </c>
      <c r="D16" s="281" t="s">
        <v>277</v>
      </c>
      <c r="E16" s="293">
        <v>315</v>
      </c>
      <c r="F16" s="208"/>
      <c r="G16" s="209"/>
      <c r="H16" s="282"/>
      <c r="I16" s="290"/>
      <c r="N16" s="157"/>
    </row>
    <row r="17" spans="1:14" ht="33" customHeight="1">
      <c r="A17" s="100"/>
      <c r="B17" s="280">
        <v>1.9</v>
      </c>
      <c r="C17" s="291" t="s">
        <v>323</v>
      </c>
      <c r="D17" s="281" t="s">
        <v>278</v>
      </c>
      <c r="E17" s="293">
        <v>7.32</v>
      </c>
      <c r="F17" s="208"/>
      <c r="G17" s="209"/>
      <c r="H17" s="282"/>
      <c r="I17" s="290"/>
      <c r="N17" s="157"/>
    </row>
    <row r="18" spans="1:14" ht="33" customHeight="1">
      <c r="A18" s="100"/>
      <c r="B18" s="280">
        <v>1.1000000000000001</v>
      </c>
      <c r="C18" s="291" t="s">
        <v>313</v>
      </c>
      <c r="D18" s="281" t="s">
        <v>289</v>
      </c>
      <c r="E18" s="293">
        <v>262</v>
      </c>
      <c r="F18" s="208"/>
      <c r="G18" s="209"/>
      <c r="H18" s="282"/>
      <c r="I18" s="290"/>
      <c r="N18" s="157"/>
    </row>
    <row r="19" spans="1:14" ht="44.25" customHeight="1">
      <c r="A19" s="100"/>
      <c r="B19" s="298">
        <v>1.1100000000000001</v>
      </c>
      <c r="C19" s="291" t="s">
        <v>298</v>
      </c>
      <c r="D19" s="281" t="s">
        <v>278</v>
      </c>
      <c r="E19" s="293">
        <v>40</v>
      </c>
      <c r="F19" s="208"/>
      <c r="G19" s="209"/>
      <c r="H19" s="282"/>
      <c r="I19" s="290"/>
      <c r="N19" s="157"/>
    </row>
    <row r="20" spans="1:14" ht="33" customHeight="1">
      <c r="A20" s="100"/>
      <c r="B20" s="298">
        <v>1.1200000000000001</v>
      </c>
      <c r="C20" s="291" t="s">
        <v>317</v>
      </c>
      <c r="D20" s="281" t="s">
        <v>277</v>
      </c>
      <c r="E20" s="293">
        <v>48</v>
      </c>
      <c r="F20" s="208"/>
      <c r="G20" s="209"/>
      <c r="H20" s="282"/>
      <c r="I20" s="290"/>
      <c r="N20" s="157"/>
    </row>
    <row r="21" spans="1:14" ht="33" customHeight="1">
      <c r="A21" s="100"/>
      <c r="B21" s="298">
        <v>1.1299999999999999</v>
      </c>
      <c r="C21" s="291" t="s">
        <v>314</v>
      </c>
      <c r="D21" s="281" t="s">
        <v>278</v>
      </c>
      <c r="E21" s="293">
        <f>45.5+23.6</f>
        <v>69.099999999999994</v>
      </c>
      <c r="F21" s="208"/>
      <c r="G21" s="209"/>
      <c r="H21" s="282"/>
      <c r="I21" s="290"/>
      <c r="N21" s="157"/>
    </row>
    <row r="22" spans="1:14" ht="45" customHeight="1">
      <c r="A22" s="100"/>
      <c r="B22" s="298">
        <v>1.1399999999999999</v>
      </c>
      <c r="C22" s="291" t="s">
        <v>318</v>
      </c>
      <c r="D22" s="281" t="s">
        <v>157</v>
      </c>
      <c r="E22" s="293">
        <f>120+55.77</f>
        <v>175.77</v>
      </c>
      <c r="F22" s="208"/>
      <c r="G22" s="209"/>
      <c r="H22" s="282"/>
      <c r="I22" s="290"/>
    </row>
    <row r="23" spans="1:14" ht="33" customHeight="1">
      <c r="A23" s="100"/>
      <c r="B23" s="298">
        <v>1.1499999999999999</v>
      </c>
      <c r="C23" s="291" t="s">
        <v>325</v>
      </c>
      <c r="D23" s="281" t="s">
        <v>278</v>
      </c>
      <c r="E23" s="293">
        <v>64</v>
      </c>
      <c r="F23" s="208"/>
      <c r="G23" s="209"/>
      <c r="H23" s="282"/>
      <c r="I23" s="290"/>
      <c r="N23" s="157"/>
    </row>
    <row r="24" spans="1:14" ht="33" customHeight="1">
      <c r="A24" s="100"/>
      <c r="B24" s="298">
        <v>1.1599999999999999</v>
      </c>
      <c r="C24" s="297" t="s">
        <v>319</v>
      </c>
      <c r="D24" s="281" t="s">
        <v>278</v>
      </c>
      <c r="E24" s="293">
        <v>92</v>
      </c>
      <c r="F24" s="208"/>
      <c r="G24" s="209"/>
      <c r="H24" s="282"/>
      <c r="I24" s="290"/>
      <c r="N24" s="157"/>
    </row>
    <row r="25" spans="1:14" ht="33" customHeight="1">
      <c r="A25" s="100"/>
      <c r="B25" s="298">
        <v>1.17</v>
      </c>
      <c r="C25" s="297" t="s">
        <v>320</v>
      </c>
      <c r="D25" s="281" t="s">
        <v>193</v>
      </c>
      <c r="E25" s="293">
        <v>3</v>
      </c>
      <c r="F25" s="208"/>
      <c r="G25" s="209"/>
      <c r="H25" s="282"/>
      <c r="I25" s="290"/>
      <c r="N25" s="157"/>
    </row>
    <row r="26" spans="1:14" ht="33" customHeight="1">
      <c r="A26" s="100"/>
      <c r="B26" s="298">
        <v>1.18</v>
      </c>
      <c r="C26" s="297" t="s">
        <v>321</v>
      </c>
      <c r="D26" s="281" t="s">
        <v>193</v>
      </c>
      <c r="E26" s="293">
        <v>7</v>
      </c>
      <c r="F26" s="208"/>
      <c r="G26" s="209"/>
      <c r="H26" s="282"/>
      <c r="I26" s="290"/>
      <c r="N26" s="157"/>
    </row>
    <row r="27" spans="1:14" ht="33" customHeight="1">
      <c r="A27" s="100"/>
      <c r="B27" s="298">
        <v>1.19</v>
      </c>
      <c r="C27" s="297" t="s">
        <v>295</v>
      </c>
      <c r="D27" s="281" t="s">
        <v>278</v>
      </c>
      <c r="E27" s="293">
        <v>66.73</v>
      </c>
      <c r="F27" s="208"/>
      <c r="G27" s="209"/>
      <c r="H27" s="282"/>
      <c r="I27" s="290"/>
      <c r="N27" s="157"/>
    </row>
    <row r="28" spans="1:14" ht="33" customHeight="1">
      <c r="A28" s="100"/>
      <c r="B28" s="299">
        <v>1.2</v>
      </c>
      <c r="C28" s="297" t="s">
        <v>301</v>
      </c>
      <c r="D28" s="300" t="s">
        <v>278</v>
      </c>
      <c r="E28" s="301">
        <v>22.01</v>
      </c>
      <c r="F28" s="302"/>
      <c r="G28" s="303"/>
      <c r="H28" s="304"/>
      <c r="I28" s="305"/>
      <c r="N28" s="157"/>
    </row>
    <row r="29" spans="1:14" ht="33" customHeight="1">
      <c r="A29" s="100"/>
      <c r="B29" s="299">
        <v>1.21</v>
      </c>
      <c r="C29" s="297" t="s">
        <v>315</v>
      </c>
      <c r="D29" s="300" t="s">
        <v>38</v>
      </c>
      <c r="E29" s="301">
        <v>1</v>
      </c>
      <c r="F29" s="302"/>
      <c r="G29" s="303"/>
      <c r="H29" s="304"/>
      <c r="I29" s="305"/>
      <c r="N29" s="157"/>
    </row>
    <row r="30" spans="1:14" ht="33" customHeight="1">
      <c r="A30" s="100"/>
      <c r="B30" s="298">
        <v>1.22</v>
      </c>
      <c r="C30" s="297" t="s">
        <v>304</v>
      </c>
      <c r="D30" s="281" t="s">
        <v>193</v>
      </c>
      <c r="E30" s="293">
        <v>3</v>
      </c>
      <c r="F30" s="208"/>
      <c r="G30" s="209"/>
      <c r="H30" s="282"/>
      <c r="I30" s="290"/>
      <c r="N30" s="157"/>
    </row>
    <row r="31" spans="1:14" ht="33" customHeight="1">
      <c r="A31" s="100"/>
      <c r="B31" s="298">
        <v>1.23</v>
      </c>
      <c r="C31" s="297" t="s">
        <v>305</v>
      </c>
      <c r="D31" s="281" t="s">
        <v>193</v>
      </c>
      <c r="E31" s="293">
        <v>7</v>
      </c>
      <c r="F31" s="208"/>
      <c r="G31" s="209"/>
      <c r="H31" s="282"/>
      <c r="I31" s="290"/>
      <c r="N31" s="157"/>
    </row>
    <row r="32" spans="1:14" ht="33" customHeight="1">
      <c r="A32" s="100"/>
      <c r="B32" s="298">
        <v>1.24</v>
      </c>
      <c r="C32" s="297" t="s">
        <v>302</v>
      </c>
      <c r="D32" s="281" t="s">
        <v>278</v>
      </c>
      <c r="E32" s="293">
        <v>21.55</v>
      </c>
      <c r="F32" s="208"/>
      <c r="G32" s="209"/>
      <c r="H32" s="282"/>
      <c r="I32" s="290"/>
      <c r="N32" s="157"/>
    </row>
    <row r="33" spans="1:14" ht="33" customHeight="1">
      <c r="A33" s="100"/>
      <c r="B33" s="298">
        <v>1.25</v>
      </c>
      <c r="C33" s="297" t="s">
        <v>303</v>
      </c>
      <c r="D33" s="281" t="s">
        <v>193</v>
      </c>
      <c r="E33" s="293">
        <v>128.63</v>
      </c>
      <c r="F33" s="208"/>
      <c r="G33" s="209"/>
      <c r="H33" s="282"/>
      <c r="I33" s="290"/>
      <c r="N33" s="157"/>
    </row>
    <row r="34" spans="1:14" ht="33" customHeight="1">
      <c r="A34" s="100"/>
      <c r="B34" s="298">
        <v>1.26</v>
      </c>
      <c r="C34" s="297" t="s">
        <v>296</v>
      </c>
      <c r="D34" s="281" t="s">
        <v>38</v>
      </c>
      <c r="E34" s="293">
        <v>1</v>
      </c>
      <c r="F34" s="208"/>
      <c r="G34" s="209"/>
      <c r="H34" s="282"/>
      <c r="I34" s="290"/>
      <c r="N34" s="157"/>
    </row>
    <row r="35" spans="1:14" ht="33" customHeight="1">
      <c r="A35" s="100"/>
      <c r="B35" s="298">
        <v>1.27</v>
      </c>
      <c r="C35" s="297" t="s">
        <v>299</v>
      </c>
      <c r="D35" s="281" t="s">
        <v>193</v>
      </c>
      <c r="E35" s="293">
        <v>3</v>
      </c>
      <c r="F35" s="208"/>
      <c r="G35" s="209"/>
      <c r="H35" s="282"/>
      <c r="I35" s="290"/>
      <c r="N35" s="157"/>
    </row>
    <row r="36" spans="1:14" ht="33" customHeight="1">
      <c r="A36" s="100"/>
      <c r="B36" s="298">
        <v>1.28</v>
      </c>
      <c r="C36" s="297" t="s">
        <v>322</v>
      </c>
      <c r="D36" s="281" t="s">
        <v>289</v>
      </c>
      <c r="E36" s="293">
        <v>262</v>
      </c>
      <c r="F36" s="208"/>
      <c r="G36" s="209"/>
      <c r="H36" s="282"/>
      <c r="I36" s="290"/>
      <c r="N36" s="157"/>
    </row>
    <row r="37" spans="1:14" ht="33" customHeight="1">
      <c r="A37" s="100"/>
      <c r="B37" s="298">
        <v>1.29</v>
      </c>
      <c r="C37" s="297" t="s">
        <v>307</v>
      </c>
      <c r="D37" s="281" t="s">
        <v>278</v>
      </c>
      <c r="E37" s="293">
        <v>6</v>
      </c>
      <c r="F37" s="208"/>
      <c r="G37" s="209"/>
      <c r="H37" s="282"/>
      <c r="I37" s="290"/>
      <c r="N37" s="157"/>
    </row>
    <row r="38" spans="1:14" ht="33" customHeight="1">
      <c r="A38" s="100"/>
      <c r="B38" s="298">
        <v>1.3</v>
      </c>
      <c r="C38" s="297" t="s">
        <v>308</v>
      </c>
      <c r="D38" s="281" t="s">
        <v>278</v>
      </c>
      <c r="E38" s="293">
        <v>8</v>
      </c>
      <c r="F38" s="208"/>
      <c r="G38" s="209"/>
      <c r="H38" s="282"/>
      <c r="I38" s="290"/>
      <c r="N38" s="157"/>
    </row>
    <row r="39" spans="1:14" ht="33" customHeight="1">
      <c r="A39" s="100"/>
      <c r="B39" s="298">
        <v>1.31</v>
      </c>
      <c r="C39" s="297" t="s">
        <v>309</v>
      </c>
      <c r="D39" s="281" t="s">
        <v>277</v>
      </c>
      <c r="E39" s="293">
        <v>37</v>
      </c>
      <c r="F39" s="208"/>
      <c r="G39" s="209"/>
      <c r="H39" s="282"/>
      <c r="I39" s="290"/>
      <c r="N39" s="157"/>
    </row>
    <row r="40" spans="1:14" ht="33" customHeight="1">
      <c r="A40" s="100"/>
      <c r="B40" s="298">
        <v>1.32</v>
      </c>
      <c r="C40" s="297" t="s">
        <v>310</v>
      </c>
      <c r="D40" s="281" t="s">
        <v>278</v>
      </c>
      <c r="E40" s="293">
        <v>9</v>
      </c>
      <c r="F40" s="208"/>
      <c r="G40" s="209"/>
      <c r="H40" s="282"/>
      <c r="I40" s="290"/>
      <c r="N40" s="157"/>
    </row>
    <row r="41" spans="1:14" ht="33" customHeight="1">
      <c r="A41" s="100"/>
      <c r="B41" s="298">
        <v>1.33</v>
      </c>
      <c r="C41" s="297" t="s">
        <v>324</v>
      </c>
      <c r="D41" s="281" t="s">
        <v>278</v>
      </c>
      <c r="E41" s="293">
        <v>32.6</v>
      </c>
      <c r="F41" s="208"/>
      <c r="G41" s="209"/>
      <c r="H41" s="282"/>
      <c r="I41" s="290"/>
      <c r="N41" s="157"/>
    </row>
    <row r="42" spans="1:14" ht="21" customHeight="1">
      <c r="A42" s="100"/>
      <c r="B42" s="280"/>
      <c r="C42" s="311" t="s">
        <v>178</v>
      </c>
      <c r="D42" s="312"/>
      <c r="E42" s="313"/>
      <c r="F42" s="283"/>
      <c r="G42" s="284" t="e">
        <f>SUM(G9:G14)</f>
        <v>#REF!</v>
      </c>
      <c r="H42" s="314"/>
      <c r="I42" s="314"/>
      <c r="N42" s="157"/>
    </row>
    <row r="43" spans="1:14" ht="15">
      <c r="A43" s="100"/>
      <c r="B43" s="177"/>
      <c r="C43" s="178"/>
      <c r="D43" s="179"/>
      <c r="E43" s="89"/>
      <c r="F43" s="180"/>
      <c r="G43" s="181"/>
      <c r="H43" s="182"/>
      <c r="I43" s="89"/>
      <c r="N43" s="157"/>
    </row>
  </sheetData>
  <mergeCells count="8">
    <mergeCell ref="C42:E42"/>
    <mergeCell ref="H42:I42"/>
    <mergeCell ref="B1:I1"/>
    <mergeCell ref="B4:I5"/>
    <mergeCell ref="B6:I6"/>
    <mergeCell ref="B7:I7"/>
    <mergeCell ref="B8:C8"/>
    <mergeCell ref="F8:G8"/>
  </mergeCells>
  <conditionalFormatting sqref="N9:N21 N23:N43">
    <cfRule type="dataBar" priority="43">
      <dataBar>
        <cfvo type="min" val="0"/>
        <cfvo type="max" val="0"/>
        <color rgb="FFFF555A"/>
      </dataBar>
    </cfRule>
  </conditionalFormatting>
  <printOptions horizontalCentered="1" verticalCentered="1"/>
  <pageMargins left="0.7" right="0.7" top="0.75" bottom="0.75" header="0.3" footer="0.3"/>
  <pageSetup scale="5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33">
    <tabColor rgb="FF92D050"/>
    <pageSetUpPr fitToPage="1"/>
  </sheetPr>
  <dimension ref="A1:N67"/>
  <sheetViews>
    <sheetView showGridLines="0" showZeros="0" view="pageBreakPreview" zoomScale="93" zoomScaleNormal="75" zoomScaleSheetLayoutView="93" workbookViewId="0">
      <pane ySplit="11" topLeftCell="A57" activePane="bottomLeft" state="frozen"/>
      <selection activeCell="E26" sqref="E26"/>
      <selection pane="bottomLeft" activeCell="J77" sqref="J77"/>
    </sheetView>
  </sheetViews>
  <sheetFormatPr baseColWidth="10" defaultColWidth="9.140625" defaultRowHeight="15.75"/>
  <cols>
    <col min="1" max="1" width="14.85546875" style="4" customWidth="1"/>
    <col min="2" max="2" width="10.42578125" style="4" customWidth="1"/>
    <col min="3" max="3" width="44" style="40" customWidth="1"/>
    <col min="4" max="5" width="15.7109375" style="39" customWidth="1"/>
    <col min="6" max="6" width="15.7109375" style="39" hidden="1" customWidth="1"/>
    <col min="7" max="7" width="21.28515625" style="39" hidden="1" customWidth="1"/>
    <col min="8" max="8" width="21.42578125" style="46" customWidth="1"/>
    <col min="9" max="9" width="15.7109375" style="39" customWidth="1"/>
    <col min="10" max="16384" width="9.140625" style="4"/>
  </cols>
  <sheetData>
    <row r="1" spans="1:14" ht="15.75" customHeight="1">
      <c r="A1" s="322" t="s">
        <v>97</v>
      </c>
      <c r="B1" s="322"/>
      <c r="C1" s="322"/>
      <c r="D1" s="322"/>
      <c r="E1" s="322"/>
      <c r="F1" s="322"/>
      <c r="G1" s="322"/>
      <c r="H1" s="322"/>
      <c r="I1" s="322"/>
    </row>
    <row r="2" spans="1:14" ht="13.5" customHeight="1">
      <c r="A2" s="322"/>
      <c r="B2" s="322"/>
      <c r="C2" s="322"/>
      <c r="D2" s="322"/>
      <c r="E2" s="322"/>
      <c r="F2" s="322"/>
      <c r="G2" s="322"/>
      <c r="H2" s="322"/>
      <c r="I2" s="322"/>
    </row>
    <row r="3" spans="1:14" ht="13.5" customHeight="1">
      <c r="A3" s="323"/>
      <c r="B3" s="323"/>
      <c r="C3" s="323"/>
      <c r="D3" s="323"/>
      <c r="E3" s="323"/>
      <c r="F3" s="323"/>
      <c r="G3" s="323"/>
      <c r="H3" s="323"/>
      <c r="I3" s="323"/>
    </row>
    <row r="4" spans="1:14" ht="13.5" customHeight="1">
      <c r="A4" s="194"/>
      <c r="B4" s="198" t="e">
        <f>#REF!</f>
        <v>#REF!</v>
      </c>
      <c r="C4" s="324"/>
      <c r="D4" s="324"/>
      <c r="E4" s="324"/>
      <c r="F4" s="324"/>
      <c r="G4" s="324"/>
      <c r="H4" s="324"/>
      <c r="I4" s="49"/>
    </row>
    <row r="5" spans="1:14" ht="13.5" customHeight="1">
      <c r="A5" s="24"/>
      <c r="B5" s="22"/>
      <c r="C5" s="22">
        <f>IF(ISNA(VLOOKUP(B5,PRESUPUESTOS,2,FALSE)),0,VLOOKUP(B5,PRESUPUESTOS,2,FALSE))</f>
        <v>0</v>
      </c>
      <c r="D5" s="38"/>
      <c r="E5" s="38"/>
      <c r="F5" s="38"/>
      <c r="G5" s="38"/>
      <c r="H5" s="38"/>
      <c r="I5" s="38"/>
    </row>
    <row r="6" spans="1:14" ht="17.25" customHeight="1">
      <c r="A6" s="109" t="s">
        <v>43</v>
      </c>
      <c r="B6" s="16"/>
      <c r="C6" s="167" t="s">
        <v>154</v>
      </c>
      <c r="I6" s="81"/>
      <c r="L6" s="173" t="s">
        <v>43</v>
      </c>
      <c r="M6" s="175"/>
      <c r="N6" s="176" t="s">
        <v>110</v>
      </c>
    </row>
    <row r="7" spans="1:14" ht="17.25" customHeight="1">
      <c r="A7" s="109" t="s">
        <v>112</v>
      </c>
      <c r="B7" s="162"/>
      <c r="C7" s="167" t="s">
        <v>8</v>
      </c>
      <c r="I7" s="81"/>
      <c r="L7" s="173" t="s">
        <v>112</v>
      </c>
      <c r="M7" s="176"/>
      <c r="N7" s="174" t="s">
        <v>126</v>
      </c>
    </row>
    <row r="8" spans="1:14" ht="13.5" customHeight="1">
      <c r="A8" s="109" t="s">
        <v>113</v>
      </c>
      <c r="B8" s="162"/>
      <c r="C8" s="163">
        <v>1</v>
      </c>
      <c r="I8" s="81"/>
    </row>
    <row r="9" spans="1:14" ht="16.5" thickBot="1">
      <c r="A9" s="20"/>
      <c r="B9" s="5"/>
      <c r="C9" s="41"/>
      <c r="D9" s="42"/>
      <c r="E9" s="42"/>
      <c r="F9" s="42"/>
      <c r="G9" s="42"/>
      <c r="H9" s="20"/>
      <c r="I9" s="43"/>
    </row>
    <row r="10" spans="1:14" ht="15.75" customHeight="1">
      <c r="A10" s="325" t="s">
        <v>2</v>
      </c>
      <c r="C10" s="325" t="s">
        <v>3</v>
      </c>
      <c r="D10" s="325" t="s">
        <v>4</v>
      </c>
      <c r="E10" s="325" t="s">
        <v>5</v>
      </c>
      <c r="F10" s="197" t="s">
        <v>36</v>
      </c>
      <c r="G10" s="197" t="s">
        <v>26</v>
      </c>
      <c r="H10" s="13" t="s">
        <v>26</v>
      </c>
      <c r="I10" s="327" t="s">
        <v>124</v>
      </c>
    </row>
    <row r="11" spans="1:14">
      <c r="A11" s="326"/>
      <c r="B11" s="9"/>
      <c r="C11" s="326"/>
      <c r="D11" s="326"/>
      <c r="E11" s="326"/>
      <c r="F11" s="9" t="s">
        <v>76</v>
      </c>
      <c r="G11" s="9" t="s">
        <v>77</v>
      </c>
      <c r="H11" s="21" t="s">
        <v>123</v>
      </c>
      <c r="I11" s="328"/>
    </row>
    <row r="12" spans="1:14">
      <c r="A12" s="197">
        <v>1</v>
      </c>
      <c r="B12" s="72" t="s">
        <v>25</v>
      </c>
      <c r="C12" s="48" t="s">
        <v>9</v>
      </c>
      <c r="E12" s="68"/>
      <c r="H12" s="49"/>
    </row>
    <row r="13" spans="1:14">
      <c r="A13" s="197"/>
      <c r="B13" s="70">
        <v>10900</v>
      </c>
      <c r="C13" s="40" t="e">
        <f t="shared" ref="C13:C22" si="0">IF(ISNA(VLOOKUP(B13,CU_MATERIALES,2,FALSE)),0,VLOOKUP(B13,CU_MATERIALES,2,FALSE))</f>
        <v>#REF!</v>
      </c>
      <c r="D13" s="49" t="e">
        <f t="shared" ref="D13:D22" si="1">IF(ISNA(VLOOKUP(B13,CU_MATERIALES,3,FALSE)),0,VLOOKUP(B13,CU_MATERIALES,3,FALSE))</f>
        <v>#REF!</v>
      </c>
      <c r="E13" s="73">
        <v>1</v>
      </c>
      <c r="F13" s="49"/>
      <c r="G13" s="49"/>
      <c r="H13" s="11" t="e">
        <f t="shared" ref="H13:H22" si="2">IF(ISNA(VLOOKUP(B13,CU_MATERIALES,3,FALSE)),0,VLOOKUP(B13,CU_MATERIALES,4,FALSE))</f>
        <v>#REF!</v>
      </c>
      <c r="I13" s="50" t="e">
        <f t="shared" ref="I13:I22" si="3">ROUND(H13*E13,2)</f>
        <v>#REF!</v>
      </c>
    </row>
    <row r="14" spans="1:14">
      <c r="A14" s="197"/>
      <c r="B14" s="70"/>
      <c r="C14" s="40" t="e">
        <f t="shared" si="0"/>
        <v>#REF!</v>
      </c>
      <c r="D14" s="49" t="e">
        <f t="shared" si="1"/>
        <v>#REF!</v>
      </c>
      <c r="E14" s="73"/>
      <c r="F14" s="49"/>
      <c r="G14" s="49"/>
      <c r="H14" s="11" t="e">
        <f t="shared" si="2"/>
        <v>#REF!</v>
      </c>
      <c r="I14" s="50" t="e">
        <f t="shared" si="3"/>
        <v>#REF!</v>
      </c>
    </row>
    <row r="15" spans="1:14">
      <c r="A15" s="197"/>
      <c r="B15" s="70"/>
      <c r="C15" s="40" t="e">
        <f t="shared" si="0"/>
        <v>#REF!</v>
      </c>
      <c r="D15" s="49" t="e">
        <f t="shared" si="1"/>
        <v>#REF!</v>
      </c>
      <c r="E15" s="73"/>
      <c r="F15" s="49"/>
      <c r="G15" s="49"/>
      <c r="H15" s="11" t="e">
        <f t="shared" si="2"/>
        <v>#REF!</v>
      </c>
      <c r="I15" s="50" t="e">
        <f t="shared" si="3"/>
        <v>#REF!</v>
      </c>
    </row>
    <row r="16" spans="1:14">
      <c r="A16" s="197"/>
      <c r="B16" s="70"/>
      <c r="C16" s="40" t="e">
        <f t="shared" si="0"/>
        <v>#REF!</v>
      </c>
      <c r="D16" s="49" t="e">
        <f t="shared" si="1"/>
        <v>#REF!</v>
      </c>
      <c r="E16" s="73"/>
      <c r="F16" s="49"/>
      <c r="G16" s="49"/>
      <c r="H16" s="11" t="e">
        <f t="shared" si="2"/>
        <v>#REF!</v>
      </c>
      <c r="I16" s="50" t="e">
        <f t="shared" si="3"/>
        <v>#REF!</v>
      </c>
    </row>
    <row r="17" spans="1:9">
      <c r="A17" s="197"/>
      <c r="B17" s="70"/>
      <c r="C17" s="40" t="e">
        <f t="shared" si="0"/>
        <v>#REF!</v>
      </c>
      <c r="D17" s="49" t="e">
        <f t="shared" si="1"/>
        <v>#REF!</v>
      </c>
      <c r="E17" s="73"/>
      <c r="F17" s="49"/>
      <c r="G17" s="49"/>
      <c r="H17" s="11" t="e">
        <f t="shared" si="2"/>
        <v>#REF!</v>
      </c>
      <c r="I17" s="50" t="e">
        <f t="shared" si="3"/>
        <v>#REF!</v>
      </c>
    </row>
    <row r="18" spans="1:9">
      <c r="A18" s="197"/>
      <c r="B18" s="70"/>
      <c r="C18" s="40" t="e">
        <f t="shared" si="0"/>
        <v>#REF!</v>
      </c>
      <c r="D18" s="49" t="e">
        <f t="shared" si="1"/>
        <v>#REF!</v>
      </c>
      <c r="E18" s="73"/>
      <c r="F18" s="49"/>
      <c r="G18" s="49"/>
      <c r="H18" s="11" t="e">
        <f t="shared" si="2"/>
        <v>#REF!</v>
      </c>
      <c r="I18" s="50" t="e">
        <f t="shared" si="3"/>
        <v>#REF!</v>
      </c>
    </row>
    <row r="19" spans="1:9">
      <c r="A19" s="197"/>
      <c r="B19" s="70"/>
      <c r="C19" s="40" t="e">
        <f t="shared" si="0"/>
        <v>#REF!</v>
      </c>
      <c r="D19" s="49" t="e">
        <f t="shared" si="1"/>
        <v>#REF!</v>
      </c>
      <c r="E19" s="73"/>
      <c r="F19" s="49"/>
      <c r="G19" s="49"/>
      <c r="H19" s="11" t="e">
        <f t="shared" si="2"/>
        <v>#REF!</v>
      </c>
      <c r="I19" s="50" t="e">
        <f t="shared" si="3"/>
        <v>#REF!</v>
      </c>
    </row>
    <row r="20" spans="1:9">
      <c r="A20" s="197"/>
      <c r="B20" s="70"/>
      <c r="C20" s="40" t="e">
        <f t="shared" si="0"/>
        <v>#REF!</v>
      </c>
      <c r="D20" s="49" t="e">
        <f t="shared" si="1"/>
        <v>#REF!</v>
      </c>
      <c r="E20" s="73"/>
      <c r="F20" s="49"/>
      <c r="G20" s="49"/>
      <c r="H20" s="11" t="e">
        <f t="shared" si="2"/>
        <v>#REF!</v>
      </c>
      <c r="I20" s="50" t="e">
        <f t="shared" si="3"/>
        <v>#REF!</v>
      </c>
    </row>
    <row r="21" spans="1:9">
      <c r="A21" s="197"/>
      <c r="B21" s="70"/>
      <c r="C21" s="40" t="e">
        <f t="shared" si="0"/>
        <v>#REF!</v>
      </c>
      <c r="D21" s="49" t="e">
        <f t="shared" si="1"/>
        <v>#REF!</v>
      </c>
      <c r="E21" s="73"/>
      <c r="F21" s="49"/>
      <c r="G21" s="49"/>
      <c r="H21" s="11" t="e">
        <f t="shared" si="2"/>
        <v>#REF!</v>
      </c>
      <c r="I21" s="50" t="e">
        <f t="shared" si="3"/>
        <v>#REF!</v>
      </c>
    </row>
    <row r="22" spans="1:9">
      <c r="A22" s="197"/>
      <c r="B22" s="70"/>
      <c r="C22" s="40" t="e">
        <f t="shared" si="0"/>
        <v>#REF!</v>
      </c>
      <c r="D22" s="49" t="e">
        <f t="shared" si="1"/>
        <v>#REF!</v>
      </c>
      <c r="E22" s="73"/>
      <c r="F22" s="49"/>
      <c r="G22" s="49"/>
      <c r="H22" s="11" t="e">
        <f t="shared" si="2"/>
        <v>#REF!</v>
      </c>
      <c r="I22" s="50" t="e">
        <f t="shared" si="3"/>
        <v>#REF!</v>
      </c>
    </row>
    <row r="23" spans="1:9" ht="16.5" thickBot="1">
      <c r="A23" s="168"/>
      <c r="B23" s="28"/>
      <c r="C23" s="51" t="s">
        <v>95</v>
      </c>
      <c r="D23" s="52"/>
      <c r="E23" s="75"/>
      <c r="F23" s="52"/>
      <c r="G23" s="52"/>
      <c r="H23" s="30"/>
      <c r="I23" s="54" t="e">
        <f>ROUND(SUM(I13:I22),2)</f>
        <v>#REF!</v>
      </c>
    </row>
    <row r="24" spans="1:9" ht="16.5" thickTop="1">
      <c r="A24" s="197">
        <v>2</v>
      </c>
      <c r="B24" s="72" t="s">
        <v>25</v>
      </c>
      <c r="C24" s="48" t="s">
        <v>29</v>
      </c>
      <c r="E24" s="73"/>
      <c r="H24" s="11"/>
      <c r="I24" s="50"/>
    </row>
    <row r="25" spans="1:9">
      <c r="A25" s="197"/>
      <c r="B25" s="4">
        <v>100</v>
      </c>
      <c r="C25" s="40" t="e">
        <f t="shared" ref="C25:C35" si="4">IF(ISNA(VLOOKUP(B25,CU_MANO_DE_OBRA,2,FALSE)),0,VLOOKUP(B25,CU_MANO_DE_OBRA,2,FALSE))</f>
        <v>#REF!</v>
      </c>
      <c r="D25" s="49" t="e">
        <f t="shared" ref="D25:D35" si="5">IF(ISNA(VLOOKUP(B25,CU_MANO_DE_OBRA,3,FALSE)),0,VLOOKUP(B25,CU_MANO_DE_OBRA,3,FALSE))</f>
        <v>#REF!</v>
      </c>
      <c r="E25" s="98">
        <v>1</v>
      </c>
      <c r="F25" s="49"/>
      <c r="G25" s="49"/>
      <c r="H25" s="11" t="e">
        <f t="shared" ref="H25:H35" si="6">IF(ISNA(VLOOKUP(B25,CU_MANO_DE_OBRA,3,FALSE)),0,VLOOKUP(B25,CU_MANO_DE_OBRA,4,FALSE))</f>
        <v>#REF!</v>
      </c>
      <c r="I25" s="50" t="e">
        <f t="shared" ref="I25:I35" si="7">ROUND(H25*E25,2)</f>
        <v>#REF!</v>
      </c>
    </row>
    <row r="26" spans="1:9">
      <c r="A26" s="197"/>
      <c r="B26" s="4">
        <v>200</v>
      </c>
      <c r="C26" s="40" t="e">
        <f t="shared" si="4"/>
        <v>#REF!</v>
      </c>
      <c r="D26" s="49" t="e">
        <f t="shared" si="5"/>
        <v>#REF!</v>
      </c>
      <c r="E26" s="98">
        <v>1</v>
      </c>
      <c r="F26" s="49"/>
      <c r="G26" s="49"/>
      <c r="H26" s="37" t="e">
        <f t="shared" si="6"/>
        <v>#REF!</v>
      </c>
      <c r="I26" s="50" t="e">
        <f t="shared" si="7"/>
        <v>#REF!</v>
      </c>
    </row>
    <row r="27" spans="1:9">
      <c r="A27" s="197"/>
      <c r="C27" s="40" t="e">
        <f t="shared" si="4"/>
        <v>#REF!</v>
      </c>
      <c r="D27" s="49" t="e">
        <f t="shared" si="5"/>
        <v>#REF!</v>
      </c>
      <c r="E27" s="98"/>
      <c r="F27" s="49"/>
      <c r="G27" s="49"/>
      <c r="H27" s="37" t="e">
        <f t="shared" si="6"/>
        <v>#REF!</v>
      </c>
      <c r="I27" s="50" t="e">
        <f t="shared" si="7"/>
        <v>#REF!</v>
      </c>
    </row>
    <row r="28" spans="1:9">
      <c r="A28" s="197"/>
      <c r="C28" s="40" t="e">
        <f t="shared" si="4"/>
        <v>#REF!</v>
      </c>
      <c r="D28" s="49" t="e">
        <f t="shared" si="5"/>
        <v>#REF!</v>
      </c>
      <c r="E28" s="73"/>
      <c r="F28" s="49"/>
      <c r="G28" s="49"/>
      <c r="H28" s="37" t="e">
        <f t="shared" si="6"/>
        <v>#REF!</v>
      </c>
      <c r="I28" s="50" t="e">
        <f t="shared" si="7"/>
        <v>#REF!</v>
      </c>
    </row>
    <row r="29" spans="1:9">
      <c r="A29" s="197"/>
      <c r="C29" s="40" t="e">
        <f t="shared" si="4"/>
        <v>#REF!</v>
      </c>
      <c r="D29" s="49" t="e">
        <f t="shared" si="5"/>
        <v>#REF!</v>
      </c>
      <c r="E29" s="73"/>
      <c r="F29" s="49"/>
      <c r="G29" s="49"/>
      <c r="H29" s="37" t="e">
        <f t="shared" si="6"/>
        <v>#REF!</v>
      </c>
      <c r="I29" s="50" t="e">
        <f t="shared" si="7"/>
        <v>#REF!</v>
      </c>
    </row>
    <row r="30" spans="1:9">
      <c r="A30" s="197"/>
      <c r="C30" s="40" t="e">
        <f t="shared" si="4"/>
        <v>#REF!</v>
      </c>
      <c r="D30" s="49" t="e">
        <f t="shared" si="5"/>
        <v>#REF!</v>
      </c>
      <c r="E30" s="73"/>
      <c r="F30" s="49"/>
      <c r="G30" s="49"/>
      <c r="H30" s="37" t="e">
        <f t="shared" si="6"/>
        <v>#REF!</v>
      </c>
      <c r="I30" s="50" t="e">
        <f t="shared" si="7"/>
        <v>#REF!</v>
      </c>
    </row>
    <row r="31" spans="1:9">
      <c r="A31" s="197"/>
      <c r="C31" s="40" t="e">
        <f t="shared" si="4"/>
        <v>#REF!</v>
      </c>
      <c r="D31" s="49" t="e">
        <f t="shared" si="5"/>
        <v>#REF!</v>
      </c>
      <c r="E31" s="73"/>
      <c r="F31" s="49"/>
      <c r="G31" s="49"/>
      <c r="H31" s="37" t="e">
        <f t="shared" si="6"/>
        <v>#REF!</v>
      </c>
      <c r="I31" s="50" t="e">
        <f t="shared" si="7"/>
        <v>#REF!</v>
      </c>
    </row>
    <row r="32" spans="1:9">
      <c r="A32" s="197"/>
      <c r="C32" s="40" t="e">
        <f t="shared" si="4"/>
        <v>#REF!</v>
      </c>
      <c r="D32" s="49" t="e">
        <f t="shared" si="5"/>
        <v>#REF!</v>
      </c>
      <c r="E32" s="73"/>
      <c r="F32" s="49"/>
      <c r="G32" s="49"/>
      <c r="H32" s="37" t="e">
        <f t="shared" si="6"/>
        <v>#REF!</v>
      </c>
      <c r="I32" s="50" t="e">
        <f t="shared" si="7"/>
        <v>#REF!</v>
      </c>
    </row>
    <row r="33" spans="1:9">
      <c r="A33" s="197"/>
      <c r="C33" s="40" t="e">
        <f t="shared" si="4"/>
        <v>#REF!</v>
      </c>
      <c r="D33" s="49" t="e">
        <f t="shared" si="5"/>
        <v>#REF!</v>
      </c>
      <c r="E33" s="73"/>
      <c r="F33" s="49"/>
      <c r="G33" s="49"/>
      <c r="H33" s="37" t="e">
        <f t="shared" si="6"/>
        <v>#REF!</v>
      </c>
      <c r="I33" s="50" t="e">
        <f t="shared" si="7"/>
        <v>#REF!</v>
      </c>
    </row>
    <row r="34" spans="1:9" ht="16.5" thickBot="1">
      <c r="A34" s="197"/>
      <c r="C34" s="51" t="s">
        <v>30</v>
      </c>
      <c r="D34" s="52"/>
      <c r="E34" s="75"/>
      <c r="F34" s="52"/>
      <c r="G34" s="52"/>
      <c r="H34" s="30"/>
      <c r="I34" s="54" t="e">
        <f>ROUND(SUM(I25:I33),2)</f>
        <v>#REF!</v>
      </c>
    </row>
    <row r="35" spans="1:9" ht="16.5" thickTop="1">
      <c r="A35" s="197"/>
      <c r="B35" s="26">
        <v>300</v>
      </c>
      <c r="C35" s="55" t="e">
        <f t="shared" si="4"/>
        <v>#REF!</v>
      </c>
      <c r="D35" s="149" t="e">
        <f t="shared" si="5"/>
        <v>#REF!</v>
      </c>
      <c r="E35" s="146" t="e">
        <f>SUM(I34)</f>
        <v>#REF!</v>
      </c>
      <c r="F35" s="56"/>
      <c r="G35" s="56"/>
      <c r="H35" s="76" t="e">
        <f t="shared" si="6"/>
        <v>#REF!</v>
      </c>
      <c r="I35" s="129" t="e">
        <f t="shared" si="7"/>
        <v>#REF!</v>
      </c>
    </row>
    <row r="36" spans="1:9" ht="16.5" thickBot="1">
      <c r="A36" s="168"/>
      <c r="B36" s="28"/>
      <c r="C36" s="51" t="s">
        <v>96</v>
      </c>
      <c r="D36" s="52"/>
      <c r="E36" s="75"/>
      <c r="F36" s="52"/>
      <c r="G36" s="52"/>
      <c r="H36" s="30"/>
      <c r="I36" s="54" t="e">
        <f>ROUND(SUM(I34:I35),2)</f>
        <v>#REF!</v>
      </c>
    </row>
    <row r="37" spans="1:9" ht="16.5" thickTop="1">
      <c r="A37" s="197">
        <v>3</v>
      </c>
      <c r="B37" s="72" t="s">
        <v>25</v>
      </c>
      <c r="C37" s="48" t="s">
        <v>98</v>
      </c>
      <c r="E37" s="73"/>
      <c r="H37" s="11"/>
      <c r="I37" s="50"/>
    </row>
    <row r="38" spans="1:9">
      <c r="A38" s="198"/>
      <c r="C38" s="40" t="e">
        <f t="shared" ref="C38:C48" si="8">IF(ISNA(VLOOKUP(B38,CU_EQUIPO,2,FALSE)),0,VLOOKUP(B38,CU_EQUIPO,2,FALSE))</f>
        <v>#REF!</v>
      </c>
      <c r="D38" s="49" t="e">
        <f t="shared" ref="D38:D48" si="9">IF(ISNA(VLOOKUP(B38,CU_EQUIPO,3,FALSE)),0,VLOOKUP(B38,CU_EQUIPO,3,FALSE))</f>
        <v>#REF!</v>
      </c>
      <c r="E38" s="196"/>
      <c r="F38" s="49"/>
      <c r="G38" s="49"/>
      <c r="H38" s="11" t="e">
        <f t="shared" ref="H38:H48" si="10">IF(ISNA(VLOOKUP(B38,CU_EQUIPO,3,FALSE)),0,VLOOKUP(B38,CU_EQUIPO,4,FALSE))</f>
        <v>#REF!</v>
      </c>
      <c r="I38" s="50" t="e">
        <f t="shared" ref="I38:I48" si="11">ROUND(H38*E38,2)</f>
        <v>#REF!</v>
      </c>
    </row>
    <row r="39" spans="1:9">
      <c r="A39" s="198"/>
      <c r="C39" s="40" t="e">
        <f t="shared" si="8"/>
        <v>#REF!</v>
      </c>
      <c r="D39" s="49" t="e">
        <f t="shared" si="9"/>
        <v>#REF!</v>
      </c>
      <c r="E39" s="196"/>
      <c r="F39" s="49"/>
      <c r="G39" s="49"/>
      <c r="H39" s="19" t="e">
        <f t="shared" si="10"/>
        <v>#REF!</v>
      </c>
      <c r="I39" s="50" t="e">
        <f t="shared" si="11"/>
        <v>#REF!</v>
      </c>
    </row>
    <row r="40" spans="1:9">
      <c r="A40" s="198"/>
      <c r="C40" s="140" t="e">
        <f t="shared" si="8"/>
        <v>#REF!</v>
      </c>
      <c r="D40" s="49" t="e">
        <f t="shared" si="9"/>
        <v>#REF!</v>
      </c>
      <c r="E40" s="196"/>
      <c r="F40" s="49"/>
      <c r="G40" s="49"/>
      <c r="H40" s="19" t="e">
        <f t="shared" si="10"/>
        <v>#REF!</v>
      </c>
      <c r="I40" s="50" t="e">
        <f t="shared" si="11"/>
        <v>#REF!</v>
      </c>
    </row>
    <row r="41" spans="1:9">
      <c r="A41" s="198"/>
      <c r="C41" s="40" t="e">
        <f t="shared" si="8"/>
        <v>#REF!</v>
      </c>
      <c r="D41" s="49" t="e">
        <f t="shared" si="9"/>
        <v>#REF!</v>
      </c>
      <c r="E41" s="73"/>
      <c r="F41" s="49"/>
      <c r="G41" s="49"/>
      <c r="H41" s="11" t="e">
        <f t="shared" si="10"/>
        <v>#REF!</v>
      </c>
      <c r="I41" s="50" t="e">
        <f t="shared" si="11"/>
        <v>#REF!</v>
      </c>
    </row>
    <row r="42" spans="1:9">
      <c r="C42" s="40" t="e">
        <f t="shared" si="8"/>
        <v>#REF!</v>
      </c>
      <c r="D42" s="49" t="e">
        <f t="shared" si="9"/>
        <v>#REF!</v>
      </c>
      <c r="E42" s="73"/>
      <c r="F42" s="49"/>
      <c r="G42" s="49"/>
      <c r="H42" s="11" t="e">
        <f t="shared" si="10"/>
        <v>#REF!</v>
      </c>
      <c r="I42" s="50" t="e">
        <f t="shared" si="11"/>
        <v>#REF!</v>
      </c>
    </row>
    <row r="43" spans="1:9">
      <c r="C43" s="40" t="e">
        <f t="shared" si="8"/>
        <v>#REF!</v>
      </c>
      <c r="D43" s="49" t="e">
        <f t="shared" si="9"/>
        <v>#REF!</v>
      </c>
      <c r="E43" s="73"/>
      <c r="F43" s="49"/>
      <c r="G43" s="49"/>
      <c r="H43" s="11" t="e">
        <f t="shared" si="10"/>
        <v>#REF!</v>
      </c>
      <c r="I43" s="50" t="e">
        <f t="shared" si="11"/>
        <v>#REF!</v>
      </c>
    </row>
    <row r="44" spans="1:9">
      <c r="C44" s="40" t="e">
        <f t="shared" si="8"/>
        <v>#REF!</v>
      </c>
      <c r="D44" s="49" t="e">
        <f t="shared" si="9"/>
        <v>#REF!</v>
      </c>
      <c r="E44" s="73"/>
      <c r="F44" s="49"/>
      <c r="G44" s="49"/>
      <c r="H44" s="11" t="e">
        <f t="shared" si="10"/>
        <v>#REF!</v>
      </c>
      <c r="I44" s="50" t="e">
        <f t="shared" si="11"/>
        <v>#REF!</v>
      </c>
    </row>
    <row r="45" spans="1:9">
      <c r="C45" s="40" t="e">
        <f t="shared" si="8"/>
        <v>#REF!</v>
      </c>
      <c r="D45" s="49" t="e">
        <f t="shared" si="9"/>
        <v>#REF!</v>
      </c>
      <c r="E45" s="73"/>
      <c r="F45" s="49"/>
      <c r="G45" s="49"/>
      <c r="H45" s="11" t="e">
        <f t="shared" si="10"/>
        <v>#REF!</v>
      </c>
      <c r="I45" s="50" t="e">
        <f t="shared" si="11"/>
        <v>#REF!</v>
      </c>
    </row>
    <row r="46" spans="1:9">
      <c r="C46" s="40" t="e">
        <f t="shared" si="8"/>
        <v>#REF!</v>
      </c>
      <c r="D46" s="49" t="e">
        <f t="shared" si="9"/>
        <v>#REF!</v>
      </c>
      <c r="E46" s="73"/>
      <c r="F46" s="49"/>
      <c r="G46" s="49"/>
      <c r="H46" s="11" t="e">
        <f t="shared" si="10"/>
        <v>#REF!</v>
      </c>
      <c r="I46" s="50" t="e">
        <f t="shared" si="11"/>
        <v>#REF!</v>
      </c>
    </row>
    <row r="47" spans="1:9">
      <c r="C47" s="40" t="e">
        <f t="shared" si="8"/>
        <v>#REF!</v>
      </c>
      <c r="D47" s="49" t="e">
        <f t="shared" si="9"/>
        <v>#REF!</v>
      </c>
      <c r="E47" s="73"/>
      <c r="F47" s="49"/>
      <c r="G47" s="49"/>
      <c r="H47" s="11" t="e">
        <f t="shared" si="10"/>
        <v>#REF!</v>
      </c>
      <c r="I47" s="50" t="e">
        <f t="shared" si="11"/>
        <v>#REF!</v>
      </c>
    </row>
    <row r="48" spans="1:9">
      <c r="B48" s="26">
        <v>30000</v>
      </c>
      <c r="C48" s="55" t="e">
        <f t="shared" si="8"/>
        <v>#REF!</v>
      </c>
      <c r="D48" s="149" t="e">
        <f t="shared" si="9"/>
        <v>#REF!</v>
      </c>
      <c r="E48" s="146" t="e">
        <f>E35</f>
        <v>#REF!</v>
      </c>
      <c r="F48" s="56"/>
      <c r="G48" s="56"/>
      <c r="H48" s="76" t="e">
        <f t="shared" si="10"/>
        <v>#REF!</v>
      </c>
      <c r="I48" s="50" t="e">
        <f t="shared" si="11"/>
        <v>#REF!</v>
      </c>
    </row>
    <row r="49" spans="1:10" ht="16.5" thickBot="1">
      <c r="A49" s="28"/>
      <c r="B49" s="28"/>
      <c r="C49" s="51" t="s">
        <v>102</v>
      </c>
      <c r="D49" s="52"/>
      <c r="E49" s="52"/>
      <c r="F49" s="52"/>
      <c r="G49" s="52"/>
      <c r="H49" s="53"/>
      <c r="I49" s="54" t="e">
        <f>ROUND(SUM(I38:I48),2)</f>
        <v>#REF!</v>
      </c>
    </row>
    <row r="50" spans="1:10" ht="16.5" thickTop="1">
      <c r="C50" s="6"/>
      <c r="D50" s="4"/>
      <c r="E50" s="4"/>
      <c r="F50" s="4"/>
      <c r="G50" s="4"/>
      <c r="H50" s="11"/>
      <c r="I50" s="14"/>
    </row>
    <row r="51" spans="1:10">
      <c r="C51" s="17" t="s">
        <v>55</v>
      </c>
      <c r="D51" s="4"/>
      <c r="E51" s="4"/>
      <c r="F51" s="4"/>
      <c r="G51" s="4"/>
      <c r="H51" s="11"/>
      <c r="I51" s="15" t="e">
        <f>I23+I36+I49</f>
        <v>#REF!</v>
      </c>
      <c r="J51" s="4" t="e">
        <f>I51*1.4</f>
        <v>#REF!</v>
      </c>
    </row>
    <row r="52" spans="1:10" ht="16.5" thickBot="1">
      <c r="A52" s="103"/>
      <c r="B52" s="103"/>
      <c r="C52" s="104"/>
      <c r="D52" s="103"/>
      <c r="E52" s="103"/>
      <c r="F52" s="103"/>
      <c r="G52" s="103"/>
      <c r="H52" s="105"/>
      <c r="I52" s="107"/>
    </row>
    <row r="53" spans="1:10" ht="18" customHeight="1" thickTop="1">
      <c r="A53" s="197">
        <v>4</v>
      </c>
      <c r="C53" s="17" t="s">
        <v>50</v>
      </c>
      <c r="D53" s="4"/>
      <c r="E53" s="4"/>
      <c r="F53" s="4"/>
      <c r="G53" s="4"/>
      <c r="H53" s="11"/>
      <c r="I53" s="14"/>
    </row>
    <row r="54" spans="1:10">
      <c r="C54" s="6"/>
      <c r="D54" s="4"/>
      <c r="E54" s="4"/>
      <c r="F54" s="4"/>
      <c r="G54" s="4"/>
      <c r="H54" s="11"/>
      <c r="I54" s="14"/>
    </row>
    <row r="55" spans="1:10">
      <c r="C55" s="6" t="s">
        <v>99</v>
      </c>
      <c r="D55" s="4"/>
      <c r="E55" s="4"/>
      <c r="F55" s="4"/>
      <c r="G55" s="4"/>
      <c r="H55" s="147">
        <f>Presupuesto!$E$88</f>
        <v>0.13</v>
      </c>
      <c r="I55" s="14" t="e">
        <f>ROUND((Presupuesto!E88)*I51,2)</f>
        <v>#REF!</v>
      </c>
    </row>
    <row r="56" spans="1:10" hidden="1">
      <c r="C56" s="6" t="s">
        <v>100</v>
      </c>
      <c r="D56" s="4"/>
      <c r="E56" s="4"/>
      <c r="F56" s="4"/>
      <c r="G56" s="4"/>
      <c r="H56" s="147">
        <f>Presupuesto!$E$89</f>
        <v>0</v>
      </c>
      <c r="I56" s="14" t="e">
        <f>ROUND((Presupuesto!E89)*I51,2)</f>
        <v>#REF!</v>
      </c>
    </row>
    <row r="57" spans="1:10" ht="16.5" thickBot="1">
      <c r="A57" s="28"/>
      <c r="B57" s="28"/>
      <c r="C57" s="29" t="s">
        <v>53</v>
      </c>
      <c r="D57" s="28"/>
      <c r="E57" s="28"/>
      <c r="F57" s="28"/>
      <c r="G57" s="28"/>
      <c r="H57" s="148"/>
      <c r="I57" s="108" t="e">
        <f>SUM(I55:I56)</f>
        <v>#REF!</v>
      </c>
    </row>
    <row r="58" spans="1:10" ht="16.5" thickTop="1">
      <c r="A58" s="197">
        <v>5</v>
      </c>
      <c r="C58" s="17" t="s">
        <v>16</v>
      </c>
      <c r="D58" s="4"/>
      <c r="E58" s="4"/>
      <c r="F58" s="4"/>
      <c r="G58" s="4"/>
      <c r="H58" s="147"/>
      <c r="I58" s="14"/>
    </row>
    <row r="59" spans="1:10">
      <c r="C59" s="6"/>
      <c r="D59" s="4"/>
      <c r="E59" s="4"/>
      <c r="F59" s="4"/>
      <c r="G59" s="4"/>
      <c r="H59" s="147"/>
      <c r="I59" s="14"/>
    </row>
    <row r="60" spans="1:10">
      <c r="C60" s="6" t="s">
        <v>101</v>
      </c>
      <c r="D60" s="4"/>
      <c r="E60" s="4"/>
      <c r="F60" s="4"/>
      <c r="G60" s="4"/>
      <c r="H60" s="147">
        <f>Presupuesto!$E$90</f>
        <v>7.0000000000000007E-2</v>
      </c>
      <c r="I60" s="14" t="e">
        <f>ROUND((Presupuesto!E90)*(I51+I57),2)</f>
        <v>#REF!</v>
      </c>
    </row>
    <row r="61" spans="1:10" ht="16.5" thickBot="1">
      <c r="A61" s="28"/>
      <c r="B61" s="28"/>
      <c r="C61" s="29" t="s">
        <v>54</v>
      </c>
      <c r="D61" s="28"/>
      <c r="E61" s="28"/>
      <c r="F61" s="28"/>
      <c r="G61" s="28"/>
      <c r="H61" s="30"/>
      <c r="I61" s="108" t="e">
        <f>SUM(I60)</f>
        <v>#REF!</v>
      </c>
    </row>
    <row r="62" spans="1:10" ht="16.5" hidden="1" thickTop="1">
      <c r="C62" s="6"/>
      <c r="D62" s="4"/>
      <c r="E62" s="4"/>
      <c r="F62" s="4"/>
      <c r="G62" s="4"/>
      <c r="H62" s="11"/>
      <c r="I62" s="14"/>
    </row>
    <row r="63" spans="1:10" ht="16.5" hidden="1" thickTop="1">
      <c r="A63" s="8"/>
      <c r="B63" s="8"/>
      <c r="C63" s="109" t="s">
        <v>56</v>
      </c>
      <c r="D63" s="8"/>
      <c r="E63" s="8"/>
      <c r="F63" s="8"/>
      <c r="G63" s="8"/>
      <c r="H63" s="110"/>
      <c r="I63" s="112" t="e">
        <f>+I57+I61</f>
        <v>#REF!</v>
      </c>
    </row>
    <row r="64" spans="1:10" ht="17.25" hidden="1" thickTop="1" thickBot="1">
      <c r="A64" s="103"/>
      <c r="B64" s="103"/>
      <c r="C64" s="104"/>
      <c r="D64" s="103"/>
      <c r="E64" s="103"/>
      <c r="F64" s="103"/>
      <c r="G64" s="103"/>
      <c r="H64" s="105"/>
      <c r="I64" s="113"/>
    </row>
    <row r="65" spans="1:11" ht="16.5" thickTop="1">
      <c r="A65" s="8"/>
      <c r="B65" s="8"/>
      <c r="C65" s="32"/>
      <c r="D65" s="8"/>
      <c r="E65" s="8"/>
      <c r="F65" s="8"/>
      <c r="G65" s="8"/>
      <c r="H65" s="110"/>
      <c r="I65" s="114"/>
    </row>
    <row r="66" spans="1:11">
      <c r="C66" s="17" t="s">
        <v>57</v>
      </c>
      <c r="D66" s="4"/>
      <c r="E66" s="4"/>
      <c r="F66" s="4"/>
      <c r="G66" s="4"/>
      <c r="H66" s="11"/>
      <c r="I66" s="57" t="e">
        <f>TRUNC(I51+I63,2)</f>
        <v>#REF!</v>
      </c>
    </row>
    <row r="67" spans="1:11" ht="16.5" thickBot="1">
      <c r="A67" s="5"/>
      <c r="B67" s="5"/>
      <c r="C67" s="33"/>
      <c r="D67" s="5"/>
      <c r="E67" s="5"/>
      <c r="F67" s="5"/>
      <c r="G67" s="5"/>
      <c r="H67" s="20"/>
      <c r="I67" s="35"/>
      <c r="K67" s="155"/>
    </row>
  </sheetData>
  <mergeCells count="8">
    <mergeCell ref="A1:I2"/>
    <mergeCell ref="A3:I3"/>
    <mergeCell ref="C4:H4"/>
    <mergeCell ref="A10:A11"/>
    <mergeCell ref="C10:C11"/>
    <mergeCell ref="D10:D11"/>
    <mergeCell ref="E10:E11"/>
    <mergeCell ref="I10:I11"/>
  </mergeCells>
  <printOptions horizontalCentered="1" verticalCentered="1"/>
  <pageMargins left="0.91" right="0.75" top="0.8" bottom="1" header="0" footer="0"/>
  <pageSetup scale="64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9">
    <tabColor rgb="FFFFFF00"/>
    <pageSetUpPr fitToPage="1"/>
  </sheetPr>
  <dimension ref="A1:Q67"/>
  <sheetViews>
    <sheetView showGridLines="0" showZeros="0" view="pageBreakPreview" zoomScale="83" zoomScaleNormal="75" zoomScaleSheetLayoutView="83" workbookViewId="0">
      <pane ySplit="11" topLeftCell="A48" activePane="bottomLeft" state="frozen"/>
      <selection activeCell="E26" sqref="E26"/>
      <selection pane="bottomLeft" activeCell="E26" sqref="E26"/>
    </sheetView>
  </sheetViews>
  <sheetFormatPr baseColWidth="10" defaultColWidth="9.140625" defaultRowHeight="15.75"/>
  <cols>
    <col min="1" max="1" width="15.28515625" style="4" customWidth="1"/>
    <col min="2" max="2" width="10.42578125" style="4" customWidth="1"/>
    <col min="3" max="3" width="45.7109375" style="40" customWidth="1"/>
    <col min="4" max="5" width="14.7109375" style="39" customWidth="1"/>
    <col min="6" max="6" width="17.140625" style="39" hidden="1" customWidth="1"/>
    <col min="7" max="7" width="20" style="39" hidden="1" customWidth="1"/>
    <col min="8" max="8" width="21.42578125" style="46" customWidth="1"/>
    <col min="9" max="9" width="15.7109375" style="39" customWidth="1"/>
    <col min="10" max="10" width="11.5703125" style="4" customWidth="1"/>
    <col min="11" max="11" width="13.85546875" style="4" bestFit="1" customWidth="1"/>
    <col min="12" max="16" width="9.140625" style="4"/>
    <col min="17" max="17" width="19.5703125" style="4" customWidth="1"/>
    <col min="18" max="16384" width="9.140625" style="4"/>
  </cols>
  <sheetData>
    <row r="1" spans="1:10" ht="15.75" customHeight="1">
      <c r="A1" s="322" t="s">
        <v>97</v>
      </c>
      <c r="B1" s="322"/>
      <c r="C1" s="322"/>
      <c r="D1" s="322"/>
      <c r="E1" s="322"/>
      <c r="F1" s="322"/>
      <c r="G1" s="322"/>
      <c r="H1" s="322"/>
      <c r="I1" s="322"/>
    </row>
    <row r="2" spans="1:10" ht="13.5" customHeight="1">
      <c r="A2" s="322"/>
      <c r="B2" s="322"/>
      <c r="C2" s="322"/>
      <c r="D2" s="322"/>
      <c r="E2" s="322"/>
      <c r="F2" s="322"/>
      <c r="G2" s="322"/>
      <c r="H2" s="322"/>
      <c r="I2" s="322"/>
    </row>
    <row r="3" spans="1:10" ht="13.5" customHeight="1">
      <c r="A3" s="323"/>
      <c r="B3" s="323"/>
      <c r="C3" s="323"/>
      <c r="D3" s="323"/>
      <c r="E3" s="323"/>
      <c r="F3" s="323"/>
      <c r="G3" s="323"/>
      <c r="H3" s="323"/>
      <c r="I3" s="323"/>
    </row>
    <row r="4" spans="1:10" ht="13.5" customHeight="1">
      <c r="A4" s="194"/>
      <c r="B4" s="193" t="e">
        <f>#REF!</f>
        <v>#REF!</v>
      </c>
      <c r="C4" s="324"/>
      <c r="D4" s="324"/>
      <c r="E4" s="324"/>
      <c r="F4" s="324"/>
      <c r="G4" s="324"/>
      <c r="H4" s="324"/>
      <c r="I4" s="49"/>
    </row>
    <row r="5" spans="1:10" ht="13.5" customHeight="1">
      <c r="A5" s="24"/>
      <c r="B5" s="22"/>
      <c r="C5" s="38"/>
      <c r="D5" s="38"/>
      <c r="E5" s="38"/>
      <c r="F5" s="38"/>
      <c r="G5" s="38"/>
      <c r="H5" s="38"/>
      <c r="I5" s="38"/>
    </row>
    <row r="6" spans="1:10" ht="13.5" customHeight="1">
      <c r="A6" s="109" t="s">
        <v>43</v>
      </c>
      <c r="B6" s="16"/>
      <c r="C6" s="163" t="s">
        <v>155</v>
      </c>
      <c r="I6" s="82"/>
    </row>
    <row r="7" spans="1:10" ht="21" customHeight="1">
      <c r="A7" s="109" t="s">
        <v>112</v>
      </c>
      <c r="B7" s="162"/>
      <c r="C7" s="161" t="s">
        <v>8</v>
      </c>
      <c r="I7" s="82"/>
    </row>
    <row r="8" spans="1:10" ht="15.75" customHeight="1">
      <c r="A8" s="109" t="s">
        <v>113</v>
      </c>
      <c r="B8" s="162"/>
      <c r="C8" s="163">
        <v>1</v>
      </c>
      <c r="I8" s="82"/>
    </row>
    <row r="9" spans="1:10" ht="16.5" thickBot="1">
      <c r="A9" s="20"/>
      <c r="B9" s="5"/>
      <c r="C9" s="41"/>
      <c r="D9" s="42"/>
      <c r="E9" s="42"/>
      <c r="F9" s="42"/>
      <c r="G9" s="42"/>
      <c r="H9" s="20"/>
      <c r="I9" s="43"/>
    </row>
    <row r="10" spans="1:10" ht="15.75" customHeight="1">
      <c r="A10" s="325" t="s">
        <v>2</v>
      </c>
      <c r="C10" s="325" t="s">
        <v>3</v>
      </c>
      <c r="D10" s="325" t="s">
        <v>4</v>
      </c>
      <c r="E10" s="325" t="s">
        <v>5</v>
      </c>
      <c r="F10" s="172" t="s">
        <v>36</v>
      </c>
      <c r="G10" s="172" t="s">
        <v>26</v>
      </c>
      <c r="H10" s="13" t="s">
        <v>26</v>
      </c>
      <c r="I10" s="327" t="s">
        <v>124</v>
      </c>
      <c r="J10" s="18"/>
    </row>
    <row r="11" spans="1:10">
      <c r="A11" s="326"/>
      <c r="B11" s="9"/>
      <c r="C11" s="326"/>
      <c r="D11" s="326"/>
      <c r="E11" s="326"/>
      <c r="F11" s="9" t="s">
        <v>76</v>
      </c>
      <c r="G11" s="9" t="s">
        <v>77</v>
      </c>
      <c r="H11" s="21" t="s">
        <v>123</v>
      </c>
      <c r="I11" s="328"/>
    </row>
    <row r="12" spans="1:10">
      <c r="A12" s="159">
        <v>1</v>
      </c>
      <c r="B12" s="72" t="s">
        <v>25</v>
      </c>
      <c r="C12" s="48" t="s">
        <v>9</v>
      </c>
      <c r="E12" s="68"/>
      <c r="H12" s="49"/>
    </row>
    <row r="13" spans="1:10">
      <c r="A13" s="159"/>
      <c r="B13" s="4">
        <v>10700</v>
      </c>
      <c r="C13" s="40" t="e">
        <f t="shared" ref="C13:C22" si="0">IF(ISNA(VLOOKUP(B13,CU_MATERIALES,2,FALSE)),0,VLOOKUP(B13,CU_MATERIALES,2,FALSE))</f>
        <v>#REF!</v>
      </c>
      <c r="D13" s="49" t="e">
        <f t="shared" ref="D13:D22" si="1">IF(ISNA(VLOOKUP(B13,CU_MATERIALES,3,FALSE)),0,VLOOKUP(B13,CU_MATERIALES,3,FALSE))</f>
        <v>#REF!</v>
      </c>
      <c r="E13" s="98">
        <v>0.01</v>
      </c>
      <c r="F13" s="49"/>
      <c r="G13" s="49"/>
      <c r="H13" s="36" t="e">
        <f t="shared" ref="H13:H22" si="2">IF(ISNA(VLOOKUP(B13,CU_MATERIALES,3,FALSE)),0,VLOOKUP(B13,CU_MATERIALES,4,FALSE))</f>
        <v>#REF!</v>
      </c>
      <c r="I13" s="50" t="e">
        <f t="shared" ref="I13:I22" si="3">ROUND(H13*E13,2)</f>
        <v>#REF!</v>
      </c>
      <c r="J13" s="7"/>
    </row>
    <row r="14" spans="1:10">
      <c r="A14" s="159"/>
      <c r="C14" s="40" t="e">
        <f t="shared" si="0"/>
        <v>#REF!</v>
      </c>
      <c r="D14" s="49" t="e">
        <f t="shared" si="1"/>
        <v>#REF!</v>
      </c>
      <c r="E14" s="98"/>
      <c r="F14" s="49"/>
      <c r="G14" s="49"/>
      <c r="H14" s="36" t="e">
        <f t="shared" si="2"/>
        <v>#REF!</v>
      </c>
      <c r="I14" s="50" t="e">
        <f t="shared" si="3"/>
        <v>#REF!</v>
      </c>
      <c r="J14" s="7"/>
    </row>
    <row r="15" spans="1:10">
      <c r="A15" s="159"/>
      <c r="C15" s="40" t="e">
        <f t="shared" si="0"/>
        <v>#REF!</v>
      </c>
      <c r="D15" s="49" t="e">
        <f t="shared" si="1"/>
        <v>#REF!</v>
      </c>
      <c r="E15" s="98"/>
      <c r="F15" s="49"/>
      <c r="G15" s="49"/>
      <c r="H15" s="36" t="e">
        <f t="shared" si="2"/>
        <v>#REF!</v>
      </c>
      <c r="I15" s="50" t="e">
        <f t="shared" si="3"/>
        <v>#REF!</v>
      </c>
      <c r="J15" s="7"/>
    </row>
    <row r="16" spans="1:10">
      <c r="A16" s="159"/>
      <c r="C16" s="40" t="e">
        <f t="shared" si="0"/>
        <v>#REF!</v>
      </c>
      <c r="D16" s="49" t="e">
        <f t="shared" si="1"/>
        <v>#REF!</v>
      </c>
      <c r="E16" s="73"/>
      <c r="F16" s="49"/>
      <c r="G16" s="49"/>
      <c r="H16" s="36" t="e">
        <f t="shared" si="2"/>
        <v>#REF!</v>
      </c>
      <c r="I16" s="50" t="e">
        <f t="shared" si="3"/>
        <v>#REF!</v>
      </c>
      <c r="J16" s="7"/>
    </row>
    <row r="17" spans="1:10">
      <c r="A17" s="159"/>
      <c r="C17" s="40" t="e">
        <f t="shared" si="0"/>
        <v>#REF!</v>
      </c>
      <c r="D17" s="49" t="e">
        <f t="shared" si="1"/>
        <v>#REF!</v>
      </c>
      <c r="E17" s="73"/>
      <c r="F17" s="49"/>
      <c r="G17" s="49"/>
      <c r="H17" s="36" t="e">
        <f t="shared" si="2"/>
        <v>#REF!</v>
      </c>
      <c r="I17" s="50" t="e">
        <f t="shared" si="3"/>
        <v>#REF!</v>
      </c>
      <c r="J17" s="7"/>
    </row>
    <row r="18" spans="1:10">
      <c r="A18" s="159"/>
      <c r="C18" s="40" t="e">
        <f t="shared" si="0"/>
        <v>#REF!</v>
      </c>
      <c r="D18" s="49" t="e">
        <f t="shared" si="1"/>
        <v>#REF!</v>
      </c>
      <c r="E18" s="73"/>
      <c r="F18" s="49"/>
      <c r="G18" s="49"/>
      <c r="H18" s="36" t="e">
        <f t="shared" si="2"/>
        <v>#REF!</v>
      </c>
      <c r="I18" s="50" t="e">
        <f t="shared" si="3"/>
        <v>#REF!</v>
      </c>
      <c r="J18" s="7"/>
    </row>
    <row r="19" spans="1:10">
      <c r="A19" s="159"/>
      <c r="C19" s="40" t="e">
        <f t="shared" si="0"/>
        <v>#REF!</v>
      </c>
      <c r="D19" s="49" t="e">
        <f t="shared" si="1"/>
        <v>#REF!</v>
      </c>
      <c r="E19" s="73"/>
      <c r="F19" s="49"/>
      <c r="G19" s="49"/>
      <c r="H19" s="36" t="e">
        <f t="shared" si="2"/>
        <v>#REF!</v>
      </c>
      <c r="I19" s="50" t="e">
        <f t="shared" si="3"/>
        <v>#REF!</v>
      </c>
      <c r="J19" s="7"/>
    </row>
    <row r="20" spans="1:10">
      <c r="A20" s="159"/>
      <c r="C20" s="40" t="e">
        <f t="shared" si="0"/>
        <v>#REF!</v>
      </c>
      <c r="D20" s="49" t="e">
        <f t="shared" si="1"/>
        <v>#REF!</v>
      </c>
      <c r="E20" s="73"/>
      <c r="F20" s="49"/>
      <c r="G20" s="49"/>
      <c r="H20" s="36" t="e">
        <f t="shared" si="2"/>
        <v>#REF!</v>
      </c>
      <c r="I20" s="50" t="e">
        <f t="shared" si="3"/>
        <v>#REF!</v>
      </c>
      <c r="J20" s="7"/>
    </row>
    <row r="21" spans="1:10">
      <c r="A21" s="159"/>
      <c r="C21" s="40" t="e">
        <f t="shared" si="0"/>
        <v>#REF!</v>
      </c>
      <c r="D21" s="49" t="e">
        <f t="shared" si="1"/>
        <v>#REF!</v>
      </c>
      <c r="E21" s="115"/>
      <c r="F21" s="49"/>
      <c r="G21" s="49"/>
      <c r="H21" s="36" t="e">
        <f t="shared" si="2"/>
        <v>#REF!</v>
      </c>
      <c r="I21" s="50" t="e">
        <f t="shared" si="3"/>
        <v>#REF!</v>
      </c>
      <c r="J21" s="7"/>
    </row>
    <row r="22" spans="1:10">
      <c r="A22" s="159"/>
      <c r="C22" s="40" t="e">
        <f t="shared" si="0"/>
        <v>#REF!</v>
      </c>
      <c r="D22" s="49" t="e">
        <f t="shared" si="1"/>
        <v>#REF!</v>
      </c>
      <c r="E22" s="115"/>
      <c r="F22" s="49"/>
      <c r="G22" s="49"/>
      <c r="H22" s="36" t="e">
        <f t="shared" si="2"/>
        <v>#REF!</v>
      </c>
      <c r="I22" s="50" t="e">
        <f t="shared" si="3"/>
        <v>#REF!</v>
      </c>
      <c r="J22" s="7"/>
    </row>
    <row r="23" spans="1:10" ht="16.5" thickBot="1">
      <c r="A23" s="168"/>
      <c r="B23" s="28"/>
      <c r="C23" s="51" t="s">
        <v>95</v>
      </c>
      <c r="D23" s="52"/>
      <c r="E23" s="145"/>
      <c r="F23" s="52"/>
      <c r="G23" s="52"/>
      <c r="H23" s="30"/>
      <c r="I23" s="54" t="e">
        <f>ROUND(SUM(I13:I22),2)</f>
        <v>#REF!</v>
      </c>
      <c r="J23" s="7"/>
    </row>
    <row r="24" spans="1:10" ht="16.5" thickTop="1">
      <c r="A24" s="159">
        <v>2</v>
      </c>
      <c r="B24" s="72" t="s">
        <v>25</v>
      </c>
      <c r="C24" s="48" t="s">
        <v>29</v>
      </c>
      <c r="E24" s="115"/>
      <c r="H24" s="11"/>
      <c r="I24" s="50">
        <f t="shared" ref="I24:I35" si="4">ROUND(H24*E24,2)</f>
        <v>0</v>
      </c>
      <c r="J24" s="7"/>
    </row>
    <row r="25" spans="1:10">
      <c r="A25" s="159"/>
      <c r="B25" s="4">
        <v>7700</v>
      </c>
      <c r="C25" s="40" t="e">
        <f t="shared" ref="C25:C35" si="5">IF(ISNA(VLOOKUP(B25,CU_MANO_DE_OBRA,2,FALSE)),0,VLOOKUP(B25,CU_MANO_DE_OBRA,2,FALSE))</f>
        <v>#REF!</v>
      </c>
      <c r="D25" s="49" t="e">
        <f t="shared" ref="D25:D35" si="6">IF(ISNA(VLOOKUP(B25,CU_MANO_DE_OBRA,3,FALSE)),0,VLOOKUP(B25,CU_MANO_DE_OBRA,3,FALSE))</f>
        <v>#REF!</v>
      </c>
      <c r="E25" s="115">
        <v>1</v>
      </c>
      <c r="F25" s="49"/>
      <c r="G25" s="49"/>
      <c r="H25" s="36" t="e">
        <f t="shared" ref="H25:H35" si="7">IF(ISNA(VLOOKUP(B25,CU_MANO_DE_OBRA,3,FALSE)),0,VLOOKUP(B25,CU_MANO_DE_OBRA,4,FALSE))</f>
        <v>#REF!</v>
      </c>
      <c r="I25" s="50" t="e">
        <f t="shared" si="4"/>
        <v>#REF!</v>
      </c>
      <c r="J25" s="7"/>
    </row>
    <row r="26" spans="1:10">
      <c r="A26" s="159"/>
      <c r="C26" s="40" t="e">
        <f t="shared" si="5"/>
        <v>#REF!</v>
      </c>
      <c r="D26" s="49" t="e">
        <f t="shared" si="6"/>
        <v>#REF!</v>
      </c>
      <c r="E26" s="115"/>
      <c r="F26" s="49"/>
      <c r="G26" s="49"/>
      <c r="H26" s="36" t="e">
        <f t="shared" si="7"/>
        <v>#REF!</v>
      </c>
      <c r="I26" s="50" t="e">
        <f t="shared" si="4"/>
        <v>#REF!</v>
      </c>
      <c r="J26" s="7"/>
    </row>
    <row r="27" spans="1:10">
      <c r="A27" s="159"/>
      <c r="C27" s="40" t="e">
        <f t="shared" si="5"/>
        <v>#REF!</v>
      </c>
      <c r="D27" s="49" t="e">
        <f t="shared" si="6"/>
        <v>#REF!</v>
      </c>
      <c r="E27" s="115"/>
      <c r="F27" s="49"/>
      <c r="G27" s="49"/>
      <c r="H27" s="37" t="e">
        <f t="shared" si="7"/>
        <v>#REF!</v>
      </c>
      <c r="I27" s="50" t="e">
        <f t="shared" si="4"/>
        <v>#REF!</v>
      </c>
      <c r="J27" s="7"/>
    </row>
    <row r="28" spans="1:10">
      <c r="A28" s="159"/>
      <c r="C28" s="40" t="e">
        <f t="shared" si="5"/>
        <v>#REF!</v>
      </c>
      <c r="D28" s="49" t="e">
        <f t="shared" si="6"/>
        <v>#REF!</v>
      </c>
      <c r="E28" s="115"/>
      <c r="F28" s="49"/>
      <c r="G28" s="49"/>
      <c r="H28" s="37" t="e">
        <f t="shared" si="7"/>
        <v>#REF!</v>
      </c>
      <c r="I28" s="50" t="e">
        <f t="shared" si="4"/>
        <v>#REF!</v>
      </c>
      <c r="J28" s="7"/>
    </row>
    <row r="29" spans="1:10">
      <c r="A29" s="159"/>
      <c r="C29" s="40" t="e">
        <f t="shared" si="5"/>
        <v>#REF!</v>
      </c>
      <c r="D29" s="49" t="e">
        <f t="shared" si="6"/>
        <v>#REF!</v>
      </c>
      <c r="E29" s="115"/>
      <c r="F29" s="49"/>
      <c r="G29" s="49"/>
      <c r="H29" s="37" t="e">
        <f t="shared" si="7"/>
        <v>#REF!</v>
      </c>
      <c r="I29" s="50" t="e">
        <f t="shared" si="4"/>
        <v>#REF!</v>
      </c>
      <c r="J29" s="7"/>
    </row>
    <row r="30" spans="1:10">
      <c r="A30" s="159"/>
      <c r="C30" s="40" t="e">
        <f t="shared" si="5"/>
        <v>#REF!</v>
      </c>
      <c r="D30" s="49" t="e">
        <f t="shared" si="6"/>
        <v>#REF!</v>
      </c>
      <c r="E30" s="115"/>
      <c r="F30" s="49"/>
      <c r="G30" s="49"/>
      <c r="H30" s="37" t="e">
        <f t="shared" si="7"/>
        <v>#REF!</v>
      </c>
      <c r="I30" s="50" t="e">
        <f t="shared" si="4"/>
        <v>#REF!</v>
      </c>
      <c r="J30" s="7"/>
    </row>
    <row r="31" spans="1:10">
      <c r="A31" s="159"/>
      <c r="C31" s="40" t="e">
        <f t="shared" si="5"/>
        <v>#REF!</v>
      </c>
      <c r="D31" s="49" t="e">
        <f t="shared" si="6"/>
        <v>#REF!</v>
      </c>
      <c r="E31" s="115"/>
      <c r="F31" s="49"/>
      <c r="G31" s="49"/>
      <c r="H31" s="37" t="e">
        <f t="shared" si="7"/>
        <v>#REF!</v>
      </c>
      <c r="I31" s="50" t="e">
        <f t="shared" si="4"/>
        <v>#REF!</v>
      </c>
      <c r="J31" s="7"/>
    </row>
    <row r="32" spans="1:10">
      <c r="A32" s="159"/>
      <c r="C32" s="40" t="e">
        <f t="shared" si="5"/>
        <v>#REF!</v>
      </c>
      <c r="D32" s="49" t="e">
        <f t="shared" si="6"/>
        <v>#REF!</v>
      </c>
      <c r="E32" s="115"/>
      <c r="F32" s="49"/>
      <c r="G32" s="49"/>
      <c r="H32" s="37" t="e">
        <f t="shared" si="7"/>
        <v>#REF!</v>
      </c>
      <c r="I32" s="50" t="e">
        <f t="shared" si="4"/>
        <v>#REF!</v>
      </c>
      <c r="J32" s="7"/>
    </row>
    <row r="33" spans="1:17">
      <c r="A33" s="159"/>
      <c r="C33" s="40" t="e">
        <f t="shared" si="5"/>
        <v>#REF!</v>
      </c>
      <c r="D33" s="49" t="e">
        <f t="shared" si="6"/>
        <v>#REF!</v>
      </c>
      <c r="E33" s="115"/>
      <c r="F33" s="49"/>
      <c r="G33" s="49"/>
      <c r="H33" s="37" t="e">
        <f t="shared" si="7"/>
        <v>#REF!</v>
      </c>
      <c r="I33" s="50" t="e">
        <f t="shared" si="4"/>
        <v>#REF!</v>
      </c>
      <c r="J33" s="7"/>
    </row>
    <row r="34" spans="1:17" ht="16.5" thickBot="1">
      <c r="A34" s="159"/>
      <c r="C34" s="51" t="s">
        <v>30</v>
      </c>
      <c r="D34" s="52"/>
      <c r="E34" s="145"/>
      <c r="F34" s="52"/>
      <c r="G34" s="52"/>
      <c r="H34" s="30"/>
      <c r="I34" s="54" t="e">
        <f>ROUND(SUM(I25:I33),2)</f>
        <v>#REF!</v>
      </c>
      <c r="J34" s="7"/>
    </row>
    <row r="35" spans="1:17" ht="16.5" thickTop="1">
      <c r="A35" s="159"/>
      <c r="B35" s="26">
        <v>300</v>
      </c>
      <c r="C35" s="55" t="e">
        <f t="shared" si="5"/>
        <v>#REF!</v>
      </c>
      <c r="D35" s="149" t="e">
        <f t="shared" si="6"/>
        <v>#REF!</v>
      </c>
      <c r="E35" s="153" t="e">
        <f>SUM(I34)</f>
        <v>#REF!</v>
      </c>
      <c r="F35" s="56"/>
      <c r="G35" s="56"/>
      <c r="H35" s="76" t="e">
        <f t="shared" si="7"/>
        <v>#REF!</v>
      </c>
      <c r="I35" s="50" t="e">
        <f t="shared" si="4"/>
        <v>#REF!</v>
      </c>
      <c r="J35" s="7"/>
    </row>
    <row r="36" spans="1:17" ht="16.5" thickBot="1">
      <c r="A36" s="168"/>
      <c r="B36" s="28"/>
      <c r="C36" s="51" t="s">
        <v>96</v>
      </c>
      <c r="D36" s="52"/>
      <c r="E36" s="145"/>
      <c r="F36" s="52"/>
      <c r="G36" s="52"/>
      <c r="H36" s="30"/>
      <c r="I36" s="54" t="e">
        <f>ROUND(SUM(I34:I35),2)</f>
        <v>#REF!</v>
      </c>
      <c r="J36" s="7"/>
    </row>
    <row r="37" spans="1:17" ht="16.5" thickTop="1">
      <c r="A37" s="159">
        <v>3</v>
      </c>
      <c r="B37" s="72" t="s">
        <v>25</v>
      </c>
      <c r="C37" s="48" t="s">
        <v>98</v>
      </c>
      <c r="E37" s="115"/>
      <c r="H37" s="11"/>
      <c r="I37" s="50">
        <f t="shared" ref="I37:I48" si="8">ROUND(H37*E37,2)</f>
        <v>0</v>
      </c>
      <c r="J37" s="7"/>
    </row>
    <row r="38" spans="1:17">
      <c r="A38" s="159"/>
      <c r="C38" s="40" t="e">
        <f t="shared" ref="C38:C48" si="9">IF(ISNA(VLOOKUP(B38,CU_EQUIPO,2,FALSE)),0,VLOOKUP(B38,CU_EQUIPO,2,FALSE))</f>
        <v>#REF!</v>
      </c>
      <c r="D38" s="49" t="e">
        <f t="shared" ref="D38:D48" si="10">IF(ISNA(VLOOKUP(B38,CU_EQUIPO,3,FALSE)),0,VLOOKUP(B38,CU_EQUIPO,3,FALSE))</f>
        <v>#REF!</v>
      </c>
      <c r="E38" s="115"/>
      <c r="F38" s="49"/>
      <c r="G38" s="49"/>
      <c r="H38" s="11" t="e">
        <f t="shared" ref="H38:H48" si="11">IF(ISNA(VLOOKUP(B38,CU_EQUIPO,3,FALSE)),0,VLOOKUP(B38,CU_EQUIPO,4,FALSE))</f>
        <v>#REF!</v>
      </c>
      <c r="I38" s="50" t="e">
        <f t="shared" si="8"/>
        <v>#REF!</v>
      </c>
      <c r="J38" s="7"/>
    </row>
    <row r="39" spans="1:17">
      <c r="A39" s="159"/>
      <c r="C39" s="40" t="e">
        <f t="shared" si="9"/>
        <v>#REF!</v>
      </c>
      <c r="D39" s="49" t="e">
        <f t="shared" si="10"/>
        <v>#REF!</v>
      </c>
      <c r="E39" s="115"/>
      <c r="F39" s="49"/>
      <c r="G39" s="49"/>
      <c r="H39" s="19" t="e">
        <f t="shared" si="11"/>
        <v>#REF!</v>
      </c>
      <c r="I39" s="50" t="e">
        <f t="shared" si="8"/>
        <v>#REF!</v>
      </c>
      <c r="J39" s="7"/>
      <c r="Q39" s="124"/>
    </row>
    <row r="40" spans="1:17">
      <c r="A40" s="159"/>
      <c r="C40" s="40" t="e">
        <f t="shared" si="9"/>
        <v>#REF!</v>
      </c>
      <c r="D40" s="49" t="e">
        <f t="shared" si="10"/>
        <v>#REF!</v>
      </c>
      <c r="E40" s="115"/>
      <c r="F40" s="49"/>
      <c r="G40" s="49"/>
      <c r="H40" s="19" t="e">
        <f t="shared" si="11"/>
        <v>#REF!</v>
      </c>
      <c r="I40" s="50" t="e">
        <f t="shared" si="8"/>
        <v>#REF!</v>
      </c>
      <c r="J40" s="7"/>
    </row>
    <row r="41" spans="1:17">
      <c r="A41" s="159"/>
      <c r="C41" s="40" t="e">
        <f t="shared" si="9"/>
        <v>#REF!</v>
      </c>
      <c r="D41" s="49" t="e">
        <f t="shared" si="10"/>
        <v>#REF!</v>
      </c>
      <c r="E41" s="73"/>
      <c r="F41" s="49"/>
      <c r="G41" s="49"/>
      <c r="H41" s="11" t="e">
        <f t="shared" si="11"/>
        <v>#REF!</v>
      </c>
      <c r="I41" s="50" t="e">
        <f t="shared" si="8"/>
        <v>#REF!</v>
      </c>
      <c r="J41" s="7"/>
    </row>
    <row r="42" spans="1:17">
      <c r="A42" s="159"/>
      <c r="C42" s="40" t="e">
        <f t="shared" si="9"/>
        <v>#REF!</v>
      </c>
      <c r="D42" s="49" t="e">
        <f t="shared" si="10"/>
        <v>#REF!</v>
      </c>
      <c r="E42" s="73"/>
      <c r="F42" s="49"/>
      <c r="G42" s="49"/>
      <c r="H42" s="11">
        <v>0</v>
      </c>
      <c r="I42" s="50">
        <f t="shared" si="8"/>
        <v>0</v>
      </c>
      <c r="J42" s="7"/>
    </row>
    <row r="43" spans="1:17">
      <c r="A43" s="159"/>
      <c r="C43" s="40" t="e">
        <f t="shared" si="9"/>
        <v>#REF!</v>
      </c>
      <c r="D43" s="49" t="e">
        <f t="shared" si="10"/>
        <v>#REF!</v>
      </c>
      <c r="E43" s="73"/>
      <c r="F43" s="49"/>
      <c r="G43" s="49"/>
      <c r="H43" s="11" t="e">
        <f t="shared" si="11"/>
        <v>#REF!</v>
      </c>
      <c r="I43" s="50" t="e">
        <f t="shared" si="8"/>
        <v>#REF!</v>
      </c>
      <c r="J43" s="7"/>
    </row>
    <row r="44" spans="1:17">
      <c r="A44" s="160"/>
      <c r="C44" s="40" t="e">
        <f t="shared" si="9"/>
        <v>#REF!</v>
      </c>
      <c r="D44" s="49" t="e">
        <f t="shared" si="10"/>
        <v>#REF!</v>
      </c>
      <c r="E44" s="73"/>
      <c r="F44" s="49"/>
      <c r="G44" s="49"/>
      <c r="H44" s="11" t="e">
        <f t="shared" si="11"/>
        <v>#REF!</v>
      </c>
      <c r="I44" s="50" t="e">
        <f t="shared" si="8"/>
        <v>#REF!</v>
      </c>
      <c r="J44" s="7"/>
    </row>
    <row r="45" spans="1:17">
      <c r="C45" s="40" t="e">
        <f t="shared" si="9"/>
        <v>#REF!</v>
      </c>
      <c r="D45" s="49" t="e">
        <f t="shared" si="10"/>
        <v>#REF!</v>
      </c>
      <c r="E45" s="73"/>
      <c r="F45" s="49"/>
      <c r="G45" s="49"/>
      <c r="H45" s="11" t="e">
        <f t="shared" si="11"/>
        <v>#REF!</v>
      </c>
      <c r="I45" s="50" t="e">
        <f t="shared" si="8"/>
        <v>#REF!</v>
      </c>
      <c r="J45" s="7"/>
    </row>
    <row r="46" spans="1:17">
      <c r="C46" s="40" t="e">
        <f t="shared" si="9"/>
        <v>#REF!</v>
      </c>
      <c r="D46" s="49" t="e">
        <f t="shared" si="10"/>
        <v>#REF!</v>
      </c>
      <c r="E46" s="73"/>
      <c r="F46" s="49"/>
      <c r="G46" s="49"/>
      <c r="H46" s="11" t="e">
        <f t="shared" si="11"/>
        <v>#REF!</v>
      </c>
      <c r="I46" s="50" t="e">
        <f t="shared" si="8"/>
        <v>#REF!</v>
      </c>
      <c r="J46" s="7"/>
    </row>
    <row r="47" spans="1:17">
      <c r="C47" s="40" t="e">
        <f t="shared" si="9"/>
        <v>#REF!</v>
      </c>
      <c r="D47" s="49" t="e">
        <f t="shared" si="10"/>
        <v>#REF!</v>
      </c>
      <c r="E47" s="73"/>
      <c r="F47" s="49"/>
      <c r="G47" s="49"/>
      <c r="H47" s="11" t="e">
        <f t="shared" si="11"/>
        <v>#REF!</v>
      </c>
      <c r="I47" s="50" t="e">
        <f t="shared" si="8"/>
        <v>#REF!</v>
      </c>
      <c r="J47" s="7"/>
    </row>
    <row r="48" spans="1:17">
      <c r="B48" s="26">
        <v>20000</v>
      </c>
      <c r="C48" s="55" t="e">
        <f t="shared" si="9"/>
        <v>#REF!</v>
      </c>
      <c r="D48" s="149" t="e">
        <f t="shared" si="10"/>
        <v>#REF!</v>
      </c>
      <c r="E48" s="146" t="e">
        <f>E35</f>
        <v>#REF!</v>
      </c>
      <c r="F48" s="56"/>
      <c r="G48" s="56"/>
      <c r="H48" s="76" t="e">
        <f t="shared" si="11"/>
        <v>#REF!</v>
      </c>
      <c r="I48" s="144" t="e">
        <f t="shared" si="8"/>
        <v>#REF!</v>
      </c>
      <c r="J48" s="7"/>
    </row>
    <row r="49" spans="1:10" ht="16.5" thickBot="1">
      <c r="A49" s="28"/>
      <c r="B49" s="28"/>
      <c r="C49" s="51" t="s">
        <v>102</v>
      </c>
      <c r="D49" s="65"/>
      <c r="E49" s="65"/>
      <c r="F49" s="65"/>
      <c r="G49" s="65"/>
      <c r="H49" s="53"/>
      <c r="I49" s="54" t="e">
        <f>ROUND(SUM(I38:I48),2)</f>
        <v>#REF!</v>
      </c>
      <c r="J49" s="7"/>
    </row>
    <row r="50" spans="1:10" ht="16.5" thickTop="1">
      <c r="C50" s="6"/>
      <c r="D50" s="4"/>
      <c r="E50" s="4"/>
      <c r="F50" s="4"/>
      <c r="G50" s="4"/>
      <c r="H50" s="11"/>
      <c r="I50" s="14"/>
      <c r="J50" s="7"/>
    </row>
    <row r="51" spans="1:10" ht="16.5" customHeight="1">
      <c r="C51" s="17" t="s">
        <v>55</v>
      </c>
      <c r="D51" s="4"/>
      <c r="E51" s="4"/>
      <c r="F51" s="4"/>
      <c r="G51" s="4"/>
      <c r="H51" s="11"/>
      <c r="I51" s="15" t="e">
        <f>I23+I36+I49</f>
        <v>#REF!</v>
      </c>
      <c r="J51" s="7"/>
    </row>
    <row r="52" spans="1:10" ht="22.5" customHeight="1" thickBot="1">
      <c r="A52" s="103"/>
      <c r="B52" s="103"/>
      <c r="C52" s="104"/>
      <c r="D52" s="103"/>
      <c r="E52" s="103"/>
      <c r="F52" s="103"/>
      <c r="G52" s="103"/>
      <c r="H52" s="105"/>
      <c r="I52" s="107"/>
      <c r="J52" s="7"/>
    </row>
    <row r="53" spans="1:10" ht="18" customHeight="1" thickTop="1">
      <c r="A53" s="3">
        <v>4</v>
      </c>
      <c r="C53" s="17" t="s">
        <v>50</v>
      </c>
      <c r="D53" s="4"/>
      <c r="E53" s="4"/>
      <c r="F53" s="4"/>
      <c r="G53" s="4"/>
      <c r="H53" s="11"/>
      <c r="I53" s="14"/>
      <c r="J53" s="7"/>
    </row>
    <row r="54" spans="1:10">
      <c r="C54" s="6"/>
      <c r="D54" s="4"/>
      <c r="E54" s="4"/>
      <c r="F54" s="4"/>
      <c r="G54" s="4"/>
      <c r="H54" s="11"/>
      <c r="I54" s="14"/>
      <c r="J54" s="7"/>
    </row>
    <row r="55" spans="1:10">
      <c r="C55" s="6" t="s">
        <v>99</v>
      </c>
      <c r="D55" s="4"/>
      <c r="E55" s="4"/>
      <c r="F55" s="4"/>
      <c r="G55" s="4"/>
      <c r="H55" s="147">
        <f>Presupuesto!$E$88</f>
        <v>0.13</v>
      </c>
      <c r="I55" s="14" t="e">
        <f>ROUND((Presupuesto!E88)*I51,2)</f>
        <v>#REF!</v>
      </c>
      <c r="J55" s="7"/>
    </row>
    <row r="56" spans="1:10" hidden="1">
      <c r="C56" s="6" t="s">
        <v>100</v>
      </c>
      <c r="D56" s="4"/>
      <c r="E56" s="4"/>
      <c r="F56" s="4"/>
      <c r="G56" s="4"/>
      <c r="H56" s="147">
        <f>Presupuesto!$E$89</f>
        <v>0</v>
      </c>
      <c r="I56" s="14" t="e">
        <f>ROUND((Presupuesto!E89)*I51,2)</f>
        <v>#REF!</v>
      </c>
      <c r="J56" s="7"/>
    </row>
    <row r="57" spans="1:10" ht="16.5" thickBot="1">
      <c r="A57" s="28"/>
      <c r="B57" s="28"/>
      <c r="C57" s="29" t="s">
        <v>53</v>
      </c>
      <c r="D57" s="28"/>
      <c r="E57" s="28"/>
      <c r="F57" s="28"/>
      <c r="G57" s="28"/>
      <c r="H57" s="148"/>
      <c r="I57" s="108" t="e">
        <f>SUM(I55:I56)</f>
        <v>#REF!</v>
      </c>
    </row>
    <row r="58" spans="1:10" ht="16.5" thickTop="1">
      <c r="A58" s="3">
        <v>5</v>
      </c>
      <c r="C58" s="17" t="s">
        <v>16</v>
      </c>
      <c r="D58" s="4"/>
      <c r="E58" s="4"/>
      <c r="F58" s="4"/>
      <c r="G58" s="4"/>
      <c r="H58" s="147"/>
      <c r="I58" s="14"/>
    </row>
    <row r="59" spans="1:10">
      <c r="C59" s="6"/>
      <c r="D59" s="4"/>
      <c r="E59" s="4"/>
      <c r="F59" s="4"/>
      <c r="G59" s="4"/>
      <c r="H59" s="147"/>
      <c r="I59" s="14"/>
    </row>
    <row r="60" spans="1:10">
      <c r="C60" s="6" t="s">
        <v>101</v>
      </c>
      <c r="D60" s="4"/>
      <c r="E60" s="4"/>
      <c r="F60" s="4"/>
      <c r="G60" s="4"/>
      <c r="H60" s="147">
        <f>Presupuesto!$E$90</f>
        <v>7.0000000000000007E-2</v>
      </c>
      <c r="I60" s="14" t="e">
        <f>ROUND((Presupuesto!E90)*(I51+I57),2)</f>
        <v>#REF!</v>
      </c>
    </row>
    <row r="61" spans="1:10" ht="16.5" thickBot="1">
      <c r="A61" s="28"/>
      <c r="B61" s="28"/>
      <c r="C61" s="29" t="s">
        <v>54</v>
      </c>
      <c r="D61" s="28"/>
      <c r="E61" s="28"/>
      <c r="F61" s="28"/>
      <c r="G61" s="28"/>
      <c r="H61" s="30"/>
      <c r="I61" s="108" t="e">
        <f>SUM(I60)</f>
        <v>#REF!</v>
      </c>
    </row>
    <row r="62" spans="1:10" ht="18" hidden="1" customHeight="1" thickTop="1">
      <c r="C62" s="6"/>
      <c r="D62" s="4"/>
      <c r="E62" s="4"/>
      <c r="F62" s="4"/>
      <c r="G62" s="4"/>
      <c r="H62" s="11"/>
      <c r="I62" s="14"/>
    </row>
    <row r="63" spans="1:10" hidden="1">
      <c r="A63" s="8"/>
      <c r="B63" s="8"/>
      <c r="C63" s="109" t="s">
        <v>56</v>
      </c>
      <c r="D63" s="8"/>
      <c r="E63" s="8"/>
      <c r="F63" s="8"/>
      <c r="G63" s="8"/>
      <c r="H63" s="110"/>
      <c r="I63" s="112" t="e">
        <f>+I57+I61</f>
        <v>#REF!</v>
      </c>
    </row>
    <row r="64" spans="1:10" ht="16.5" hidden="1" thickBot="1">
      <c r="A64" s="103"/>
      <c r="B64" s="103"/>
      <c r="C64" s="104"/>
      <c r="D64" s="103"/>
      <c r="E64" s="103"/>
      <c r="F64" s="103"/>
      <c r="G64" s="103"/>
      <c r="H64" s="105"/>
      <c r="I64" s="113"/>
    </row>
    <row r="65" spans="1:9" ht="16.5" thickTop="1">
      <c r="A65" s="8"/>
      <c r="B65" s="8"/>
      <c r="C65" s="32"/>
      <c r="D65" s="8"/>
      <c r="E65" s="8"/>
      <c r="F65" s="8"/>
      <c r="G65" s="8"/>
      <c r="H65" s="110"/>
      <c r="I65" s="114"/>
    </row>
    <row r="66" spans="1:9">
      <c r="C66" s="17" t="s">
        <v>57</v>
      </c>
      <c r="D66" s="4"/>
      <c r="E66" s="4"/>
      <c r="F66" s="4"/>
      <c r="G66" s="4"/>
      <c r="H66" s="11"/>
      <c r="I66" s="57" t="e">
        <f>TRUNC(I51+I63,2)</f>
        <v>#REF!</v>
      </c>
    </row>
    <row r="67" spans="1:9" ht="16.5" thickBot="1">
      <c r="A67" s="5"/>
      <c r="B67" s="5"/>
      <c r="C67" s="33"/>
      <c r="D67" s="5"/>
      <c r="E67" s="5"/>
      <c r="F67" s="5"/>
      <c r="G67" s="5"/>
      <c r="H67" s="20"/>
      <c r="I67" s="35"/>
    </row>
  </sheetData>
  <mergeCells count="8">
    <mergeCell ref="A1:I2"/>
    <mergeCell ref="A3:I3"/>
    <mergeCell ref="A10:A11"/>
    <mergeCell ref="C10:C11"/>
    <mergeCell ref="D10:D11"/>
    <mergeCell ref="E10:E11"/>
    <mergeCell ref="I10:I11"/>
    <mergeCell ref="C4:H4"/>
  </mergeCells>
  <phoneticPr fontId="0" type="noConversion"/>
  <printOptions horizontalCentered="1" verticalCentered="1"/>
  <pageMargins left="0.91" right="0.75" top="0.8" bottom="1" header="0" footer="0"/>
  <pageSetup scale="64" orientation="portrait" horizontalDpi="300" verticalDpi="300" r:id="rId1"/>
  <headerFooter alignWithMargins="0"/>
  <ignoredErrors>
    <ignoredError sqref="I23 I49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20">
    <tabColor rgb="FF92D050"/>
    <pageSetUpPr fitToPage="1"/>
  </sheetPr>
  <dimension ref="A1:L71"/>
  <sheetViews>
    <sheetView showGridLines="0" showZeros="0" view="pageBreakPreview" zoomScale="95" zoomScaleNormal="75" zoomScaleSheetLayoutView="95" workbookViewId="0">
      <pane ySplit="11" topLeftCell="A12" activePane="bottomLeft" state="frozen"/>
      <selection activeCell="E26" sqref="E26"/>
      <selection pane="bottomLeft" activeCell="M27" sqref="M27"/>
    </sheetView>
  </sheetViews>
  <sheetFormatPr baseColWidth="10" defaultColWidth="9.140625" defaultRowHeight="15.75"/>
  <cols>
    <col min="1" max="1" width="15" style="4" customWidth="1"/>
    <col min="2" max="2" width="10.42578125" style="4" customWidth="1"/>
    <col min="3" max="3" width="46.140625" style="40" customWidth="1"/>
    <col min="4" max="4" width="14.7109375" style="39" customWidth="1"/>
    <col min="5" max="5" width="17.85546875" style="39" customWidth="1"/>
    <col min="6" max="6" width="17.140625" style="39" hidden="1" customWidth="1"/>
    <col min="7" max="7" width="20" style="39" hidden="1" customWidth="1"/>
    <col min="8" max="8" width="20.42578125" style="46" customWidth="1"/>
    <col min="9" max="9" width="15.7109375" style="39" customWidth="1"/>
    <col min="10" max="10" width="11.5703125" style="4" customWidth="1"/>
    <col min="11" max="11" width="9.140625" style="4"/>
    <col min="12" max="12" width="20.140625" style="4" bestFit="1" customWidth="1"/>
    <col min="13" max="16384" width="9.140625" style="4"/>
  </cols>
  <sheetData>
    <row r="1" spans="1:10" ht="15.75" customHeight="1">
      <c r="A1" s="322" t="s">
        <v>97</v>
      </c>
      <c r="B1" s="322"/>
      <c r="C1" s="322"/>
      <c r="D1" s="322"/>
      <c r="E1" s="322"/>
      <c r="F1" s="322"/>
      <c r="G1" s="322"/>
      <c r="H1" s="322"/>
      <c r="I1" s="322"/>
    </row>
    <row r="2" spans="1:10" ht="13.5" customHeight="1">
      <c r="A2" s="322"/>
      <c r="B2" s="322"/>
      <c r="C2" s="322"/>
      <c r="D2" s="322"/>
      <c r="E2" s="322"/>
      <c r="F2" s="322"/>
      <c r="G2" s="322"/>
      <c r="H2" s="322"/>
      <c r="I2" s="322"/>
    </row>
    <row r="3" spans="1:10" ht="13.5" customHeight="1">
      <c r="A3" s="323"/>
      <c r="B3" s="323"/>
      <c r="C3" s="323"/>
      <c r="D3" s="323"/>
      <c r="E3" s="323"/>
      <c r="F3" s="323"/>
      <c r="G3" s="323"/>
      <c r="H3" s="323"/>
      <c r="I3" s="323"/>
    </row>
    <row r="4" spans="1:10" ht="13.5" customHeight="1">
      <c r="A4" s="24"/>
      <c r="B4" s="22" t="e">
        <f>#REF!</f>
        <v>#REF!</v>
      </c>
      <c r="C4" s="324"/>
      <c r="D4" s="324"/>
      <c r="E4" s="324"/>
      <c r="F4" s="324"/>
      <c r="G4" s="324"/>
      <c r="H4" s="324"/>
      <c r="I4" s="38"/>
    </row>
    <row r="5" spans="1:10" ht="13.5" customHeight="1">
      <c r="A5" s="24"/>
      <c r="B5" s="22"/>
      <c r="C5" s="38"/>
      <c r="D5" s="38"/>
      <c r="E5" s="38"/>
      <c r="F5" s="38"/>
      <c r="G5" s="38"/>
      <c r="H5" s="38"/>
      <c r="I5" s="38"/>
    </row>
    <row r="6" spans="1:10" ht="15" customHeight="1">
      <c r="A6" s="109" t="s">
        <v>43</v>
      </c>
      <c r="B6" s="16"/>
      <c r="C6" s="162" t="s">
        <v>159</v>
      </c>
      <c r="I6" s="81"/>
    </row>
    <row r="7" spans="1:10" ht="13.5" customHeight="1">
      <c r="A7" s="109" t="s">
        <v>112</v>
      </c>
      <c r="B7" s="162"/>
      <c r="C7" s="162" t="s">
        <v>4</v>
      </c>
      <c r="I7" s="81"/>
    </row>
    <row r="8" spans="1:10" ht="13.5" customHeight="1">
      <c r="A8" s="109" t="s">
        <v>113</v>
      </c>
      <c r="B8" s="162"/>
      <c r="C8" s="163">
        <v>1</v>
      </c>
      <c r="I8" s="81"/>
    </row>
    <row r="9" spans="1:10" ht="16.5" thickBot="1">
      <c r="A9" s="20"/>
      <c r="B9" s="5"/>
      <c r="C9" s="41"/>
      <c r="D9" s="42"/>
      <c r="E9" s="42"/>
      <c r="F9" s="42"/>
      <c r="G9" s="42"/>
      <c r="H9" s="20"/>
      <c r="I9" s="43"/>
    </row>
    <row r="10" spans="1:10" ht="15.75" customHeight="1">
      <c r="A10" s="325" t="s">
        <v>2</v>
      </c>
      <c r="C10" s="325" t="s">
        <v>3</v>
      </c>
      <c r="D10" s="325" t="s">
        <v>4</v>
      </c>
      <c r="E10" s="325" t="s">
        <v>5</v>
      </c>
      <c r="F10" s="203" t="s">
        <v>36</v>
      </c>
      <c r="G10" s="203" t="s">
        <v>26</v>
      </c>
      <c r="H10" s="13" t="s">
        <v>26</v>
      </c>
      <c r="I10" s="327" t="s">
        <v>124</v>
      </c>
      <c r="J10" s="18"/>
    </row>
    <row r="11" spans="1:10">
      <c r="A11" s="326"/>
      <c r="B11" s="9"/>
      <c r="C11" s="326"/>
      <c r="D11" s="326"/>
      <c r="E11" s="326"/>
      <c r="F11" s="9" t="s">
        <v>76</v>
      </c>
      <c r="G11" s="9" t="s">
        <v>77</v>
      </c>
      <c r="H11" s="21" t="s">
        <v>123</v>
      </c>
      <c r="I11" s="328"/>
    </row>
    <row r="12" spans="1:10">
      <c r="A12" s="203">
        <v>1</v>
      </c>
      <c r="B12" s="72" t="s">
        <v>25</v>
      </c>
      <c r="C12" s="48" t="s">
        <v>9</v>
      </c>
      <c r="E12" s="68"/>
      <c r="H12" s="49"/>
    </row>
    <row r="13" spans="1:10">
      <c r="A13" s="203"/>
      <c r="B13" s="4">
        <v>800</v>
      </c>
      <c r="C13" s="40" t="e">
        <f t="shared" ref="C13:C26" si="0">IF(ISNA(VLOOKUP(B13,CU_MATERIALES,2,FALSE)),0,VLOOKUP(B13,CU_MATERIALES,2,FALSE))</f>
        <v>#REF!</v>
      </c>
      <c r="D13" s="49" t="e">
        <f t="shared" ref="D13:D26" si="1">IF(ISNA(VLOOKUP(B13,CU_MATERIALES,3,FALSE)),0,VLOOKUP(B13,CU_MATERIALES,3,FALSE))</f>
        <v>#REF!</v>
      </c>
      <c r="E13" s="123">
        <v>1</v>
      </c>
      <c r="F13" s="49"/>
      <c r="G13" s="49"/>
      <c r="H13" s="11" t="e">
        <f t="shared" ref="H13:H26" si="2">IF(ISNA(VLOOKUP(B13,CU_MATERIALES,3,FALSE)),0,VLOOKUP(B13,CU_MATERIALES,4,FALSE))</f>
        <v>#REF!</v>
      </c>
      <c r="I13" s="50" t="e">
        <f>ROUND(H13*E13,2)</f>
        <v>#REF!</v>
      </c>
      <c r="J13" s="7"/>
    </row>
    <row r="14" spans="1:10">
      <c r="A14" s="203"/>
      <c r="B14" s="4">
        <v>8000</v>
      </c>
      <c r="C14" s="40" t="e">
        <f t="shared" si="0"/>
        <v>#REF!</v>
      </c>
      <c r="D14" s="49" t="e">
        <f t="shared" si="1"/>
        <v>#REF!</v>
      </c>
      <c r="E14" s="123">
        <v>1.5</v>
      </c>
      <c r="F14" s="49"/>
      <c r="G14" s="49"/>
      <c r="H14" s="11" t="e">
        <f t="shared" si="2"/>
        <v>#REF!</v>
      </c>
      <c r="I14" s="50" t="e">
        <f t="shared" ref="I14:I26" si="3">ROUND(H14*E14,2)</f>
        <v>#REF!</v>
      </c>
      <c r="J14" s="7"/>
    </row>
    <row r="15" spans="1:10">
      <c r="A15" s="203"/>
      <c r="B15" s="4">
        <v>9000</v>
      </c>
      <c r="C15" s="40" t="e">
        <f t="shared" si="0"/>
        <v>#REF!</v>
      </c>
      <c r="D15" s="49" t="e">
        <f t="shared" si="1"/>
        <v>#REF!</v>
      </c>
      <c r="E15" s="123">
        <v>6.8000000000000005E-2</v>
      </c>
      <c r="F15" s="49"/>
      <c r="G15" s="49"/>
      <c r="H15" s="11" t="e">
        <f t="shared" si="2"/>
        <v>#REF!</v>
      </c>
      <c r="I15" s="50" t="e">
        <f t="shared" si="3"/>
        <v>#REF!</v>
      </c>
      <c r="J15" s="7"/>
    </row>
    <row r="16" spans="1:10">
      <c r="A16" s="203"/>
      <c r="B16" s="4">
        <v>10000</v>
      </c>
      <c r="C16" s="40" t="e">
        <f t="shared" si="0"/>
        <v>#REF!</v>
      </c>
      <c r="D16" s="49" t="e">
        <f t="shared" si="1"/>
        <v>#REF!</v>
      </c>
      <c r="E16" s="123">
        <v>1.5</v>
      </c>
      <c r="F16" s="49"/>
      <c r="G16" s="49"/>
      <c r="H16" s="11" t="e">
        <f t="shared" si="2"/>
        <v>#REF!</v>
      </c>
      <c r="I16" s="50" t="e">
        <f t="shared" si="3"/>
        <v>#REF!</v>
      </c>
      <c r="J16" s="7"/>
    </row>
    <row r="17" spans="1:10">
      <c r="A17" s="203"/>
      <c r="B17" s="4">
        <v>10100</v>
      </c>
      <c r="C17" s="40" t="e">
        <f t="shared" si="0"/>
        <v>#REF!</v>
      </c>
      <c r="D17" s="49" t="e">
        <f t="shared" si="1"/>
        <v>#REF!</v>
      </c>
      <c r="E17" s="123">
        <v>6.9000000000000006E-2</v>
      </c>
      <c r="F17" s="49"/>
      <c r="G17" s="49"/>
      <c r="H17" s="11" t="e">
        <f t="shared" si="2"/>
        <v>#REF!</v>
      </c>
      <c r="I17" s="50" t="e">
        <f t="shared" si="3"/>
        <v>#REF!</v>
      </c>
      <c r="J17" s="7"/>
    </row>
    <row r="18" spans="1:10">
      <c r="A18" s="203"/>
      <c r="B18" s="4">
        <v>10200</v>
      </c>
      <c r="C18" s="40" t="e">
        <f t="shared" si="0"/>
        <v>#REF!</v>
      </c>
      <c r="D18" s="49" t="e">
        <f t="shared" si="1"/>
        <v>#REF!</v>
      </c>
      <c r="E18" s="123">
        <v>0.09</v>
      </c>
      <c r="F18" s="49"/>
      <c r="G18" s="49"/>
      <c r="H18" s="11" t="e">
        <f t="shared" si="2"/>
        <v>#REF!</v>
      </c>
      <c r="I18" s="50" t="e">
        <f t="shared" si="3"/>
        <v>#REF!</v>
      </c>
      <c r="J18" s="7"/>
    </row>
    <row r="19" spans="1:10">
      <c r="A19" s="203"/>
      <c r="B19" s="4">
        <v>10300</v>
      </c>
      <c r="C19" s="40" t="e">
        <f t="shared" si="0"/>
        <v>#REF!</v>
      </c>
      <c r="D19" s="171" t="e">
        <f t="shared" si="1"/>
        <v>#REF!</v>
      </c>
      <c r="E19" s="123">
        <v>1.7000000000000001E-2</v>
      </c>
      <c r="F19" s="49"/>
      <c r="G19" s="49"/>
      <c r="H19" s="11" t="e">
        <f t="shared" si="2"/>
        <v>#REF!</v>
      </c>
      <c r="I19" s="50" t="e">
        <f t="shared" si="3"/>
        <v>#REF!</v>
      </c>
      <c r="J19" s="7"/>
    </row>
    <row r="20" spans="1:10">
      <c r="A20" s="224"/>
      <c r="B20" s="4">
        <v>10400</v>
      </c>
      <c r="C20" s="40" t="e">
        <f t="shared" ref="C20:C24" si="4">IF(ISNA(VLOOKUP(B20,CU_MATERIALES,2,FALSE)),0,VLOOKUP(B20,CU_MATERIALES,2,FALSE))</f>
        <v>#REF!</v>
      </c>
      <c r="D20" s="49" t="e">
        <f t="shared" ref="D20:D24" si="5">IF(ISNA(VLOOKUP(B20,CU_MATERIALES,3,FALSE)),0,VLOOKUP(B20,CU_MATERIALES,3,FALSE))</f>
        <v>#REF!</v>
      </c>
      <c r="E20" s="123">
        <v>8</v>
      </c>
      <c r="F20" s="49"/>
      <c r="G20" s="49"/>
      <c r="H20" s="11" t="e">
        <f t="shared" ref="H20:H24" si="6">IF(ISNA(VLOOKUP(B20,CU_MATERIALES,3,FALSE)),0,VLOOKUP(B20,CU_MATERIALES,4,FALSE))</f>
        <v>#REF!</v>
      </c>
      <c r="I20" s="50" t="e">
        <f t="shared" ref="I20:I24" si="7">ROUND(H20*E20,2)</f>
        <v>#REF!</v>
      </c>
      <c r="J20" s="7"/>
    </row>
    <row r="21" spans="1:10">
      <c r="A21" s="224"/>
      <c r="B21" s="4">
        <v>10500</v>
      </c>
      <c r="C21" s="40" t="e">
        <f t="shared" si="4"/>
        <v>#REF!</v>
      </c>
      <c r="D21" s="49" t="e">
        <f t="shared" si="5"/>
        <v>#REF!</v>
      </c>
      <c r="E21" s="123">
        <v>8</v>
      </c>
      <c r="F21" s="49"/>
      <c r="G21" s="49"/>
      <c r="H21" s="11" t="e">
        <f t="shared" si="6"/>
        <v>#REF!</v>
      </c>
      <c r="I21" s="50" t="e">
        <f t="shared" si="7"/>
        <v>#REF!</v>
      </c>
      <c r="J21" s="7"/>
    </row>
    <row r="22" spans="1:10">
      <c r="A22" s="224"/>
      <c r="B22" s="4">
        <v>10600</v>
      </c>
      <c r="C22" s="40" t="e">
        <f t="shared" si="4"/>
        <v>#REF!</v>
      </c>
      <c r="D22" s="49" t="e">
        <f t="shared" si="5"/>
        <v>#REF!</v>
      </c>
      <c r="E22" s="123">
        <v>16</v>
      </c>
      <c r="F22" s="49"/>
      <c r="G22" s="49"/>
      <c r="H22" s="11" t="e">
        <f t="shared" si="6"/>
        <v>#REF!</v>
      </c>
      <c r="I22" s="50" t="e">
        <f t="shared" si="7"/>
        <v>#REF!</v>
      </c>
      <c r="J22" s="7"/>
    </row>
    <row r="23" spans="1:10">
      <c r="A23" s="224"/>
      <c r="B23" s="4">
        <v>2201</v>
      </c>
      <c r="C23" s="40" t="e">
        <f t="shared" si="4"/>
        <v>#REF!</v>
      </c>
      <c r="D23" s="49" t="e">
        <f t="shared" si="5"/>
        <v>#REF!</v>
      </c>
      <c r="E23" s="123">
        <v>0.54700000000000004</v>
      </c>
      <c r="F23" s="49"/>
      <c r="G23" s="49"/>
      <c r="H23" s="11" t="e">
        <f t="shared" si="6"/>
        <v>#REF!</v>
      </c>
      <c r="I23" s="50" t="e">
        <f t="shared" si="7"/>
        <v>#REF!</v>
      </c>
      <c r="J23" s="7"/>
    </row>
    <row r="24" spans="1:10">
      <c r="A24" s="224"/>
      <c r="B24" s="4">
        <v>500</v>
      </c>
      <c r="C24" s="40" t="e">
        <f t="shared" si="4"/>
        <v>#REF!</v>
      </c>
      <c r="D24" s="49" t="e">
        <f t="shared" si="5"/>
        <v>#REF!</v>
      </c>
      <c r="E24" s="123">
        <v>3.2000000000000001E-2</v>
      </c>
      <c r="F24" s="49"/>
      <c r="G24" s="49"/>
      <c r="H24" s="11" t="e">
        <f t="shared" si="6"/>
        <v>#REF!</v>
      </c>
      <c r="I24" s="50" t="e">
        <f t="shared" si="7"/>
        <v>#REF!</v>
      </c>
      <c r="J24" s="7"/>
    </row>
    <row r="25" spans="1:10">
      <c r="A25" s="203"/>
      <c r="B25" s="4">
        <v>6000</v>
      </c>
      <c r="C25" s="40" t="e">
        <f t="shared" si="0"/>
        <v>#REF!</v>
      </c>
      <c r="D25" s="49" t="e">
        <f t="shared" si="1"/>
        <v>#REF!</v>
      </c>
      <c r="E25" s="123">
        <v>3.2000000000000001E-2</v>
      </c>
      <c r="F25" s="49"/>
      <c r="G25" s="49"/>
      <c r="H25" s="11" t="e">
        <f t="shared" si="2"/>
        <v>#REF!</v>
      </c>
      <c r="I25" s="50" t="e">
        <f t="shared" si="3"/>
        <v>#REF!</v>
      </c>
      <c r="J25" s="7"/>
    </row>
    <row r="26" spans="1:10">
      <c r="A26" s="203"/>
      <c r="B26" s="4">
        <v>200</v>
      </c>
      <c r="C26" s="40" t="e">
        <f t="shared" si="0"/>
        <v>#REF!</v>
      </c>
      <c r="D26" s="49" t="e">
        <f t="shared" si="1"/>
        <v>#REF!</v>
      </c>
      <c r="E26" s="123">
        <v>1.6E-2</v>
      </c>
      <c r="F26" s="49"/>
      <c r="G26" s="49"/>
      <c r="H26" s="11" t="e">
        <f t="shared" si="2"/>
        <v>#REF!</v>
      </c>
      <c r="I26" s="50" t="e">
        <f t="shared" si="3"/>
        <v>#REF!</v>
      </c>
      <c r="J26" s="7"/>
    </row>
    <row r="27" spans="1:10" ht="16.5" thickBot="1">
      <c r="A27" s="168"/>
      <c r="B27" s="28"/>
      <c r="C27" s="51" t="s">
        <v>95</v>
      </c>
      <c r="D27" s="52"/>
      <c r="E27" s="75"/>
      <c r="F27" s="52"/>
      <c r="G27" s="52"/>
      <c r="H27" s="30"/>
      <c r="I27" s="54" t="e">
        <f>ROUND(SUM(I13:I26),2)</f>
        <v>#REF!</v>
      </c>
      <c r="J27" s="7"/>
    </row>
    <row r="28" spans="1:10" ht="16.5" thickTop="1">
      <c r="A28" s="203">
        <v>2</v>
      </c>
      <c r="B28" s="72" t="s">
        <v>25</v>
      </c>
      <c r="C28" s="48" t="s">
        <v>29</v>
      </c>
      <c r="E28" s="73"/>
      <c r="H28" s="11"/>
      <c r="I28" s="50">
        <f t="shared" ref="I28:I39" si="8">ROUND(H28*E28,2)</f>
        <v>0</v>
      </c>
      <c r="J28" s="7"/>
    </row>
    <row r="29" spans="1:10">
      <c r="A29" s="203"/>
      <c r="B29" s="4">
        <v>4900</v>
      </c>
      <c r="C29" s="40" t="e">
        <f t="shared" ref="C29:C39" si="9">IF(ISNA(VLOOKUP(B29,CU_MANO_DE_OBRA,2,FALSE)),0,VLOOKUP(B29,CU_MANO_DE_OBRA,2,FALSE))</f>
        <v>#REF!</v>
      </c>
      <c r="D29" s="49" t="e">
        <f t="shared" ref="D29:D39" si="10">IF(ISNA(VLOOKUP(B29,CU_MANO_DE_OBRA,3,FALSE)),0,VLOOKUP(B29,CU_MANO_DE_OBRA,3,FALSE))</f>
        <v>#REF!</v>
      </c>
      <c r="E29" s="123">
        <v>0.3</v>
      </c>
      <c r="F29" s="49"/>
      <c r="G29" s="49"/>
      <c r="H29" s="11" t="e">
        <f t="shared" ref="H29:H39" si="11">IF(ISNA(VLOOKUP(B29,CU_MANO_DE_OBRA,3,FALSE)),0,VLOOKUP(B29,CU_MANO_DE_OBRA,4,FALSE))</f>
        <v>#REF!</v>
      </c>
      <c r="I29" s="50" t="e">
        <f t="shared" si="8"/>
        <v>#REF!</v>
      </c>
      <c r="J29" s="7"/>
    </row>
    <row r="30" spans="1:10">
      <c r="A30" s="203"/>
      <c r="B30" s="4">
        <v>5000</v>
      </c>
      <c r="C30" s="40" t="e">
        <f t="shared" si="9"/>
        <v>#REF!</v>
      </c>
      <c r="D30" s="49" t="e">
        <f t="shared" si="10"/>
        <v>#REF!</v>
      </c>
      <c r="E30" s="123">
        <v>0.3</v>
      </c>
      <c r="F30" s="49"/>
      <c r="G30" s="49"/>
      <c r="H30" s="11" t="e">
        <f t="shared" si="11"/>
        <v>#REF!</v>
      </c>
      <c r="I30" s="50" t="e">
        <f t="shared" si="8"/>
        <v>#REF!</v>
      </c>
      <c r="J30" s="7"/>
    </row>
    <row r="31" spans="1:10">
      <c r="A31" s="203"/>
      <c r="C31" s="40" t="e">
        <f t="shared" si="9"/>
        <v>#REF!</v>
      </c>
      <c r="D31" s="49" t="e">
        <f t="shared" si="10"/>
        <v>#REF!</v>
      </c>
      <c r="E31" s="123"/>
      <c r="F31" s="49"/>
      <c r="G31" s="49"/>
      <c r="H31" s="11" t="e">
        <f t="shared" si="11"/>
        <v>#REF!</v>
      </c>
      <c r="I31" s="50" t="e">
        <f t="shared" si="8"/>
        <v>#REF!</v>
      </c>
      <c r="J31" s="7"/>
    </row>
    <row r="32" spans="1:10">
      <c r="A32" s="203"/>
      <c r="C32" s="40" t="e">
        <f t="shared" si="9"/>
        <v>#REF!</v>
      </c>
      <c r="D32" s="49" t="e">
        <f t="shared" si="10"/>
        <v>#REF!</v>
      </c>
      <c r="E32" s="123"/>
      <c r="F32" s="49"/>
      <c r="G32" s="49"/>
      <c r="H32" s="11" t="e">
        <f t="shared" si="11"/>
        <v>#REF!</v>
      </c>
      <c r="I32" s="50" t="e">
        <f t="shared" si="8"/>
        <v>#REF!</v>
      </c>
      <c r="J32" s="7"/>
    </row>
    <row r="33" spans="1:10">
      <c r="A33" s="203"/>
      <c r="C33" s="40" t="e">
        <f t="shared" si="9"/>
        <v>#REF!</v>
      </c>
      <c r="D33" s="49" t="e">
        <f t="shared" si="10"/>
        <v>#REF!</v>
      </c>
      <c r="E33" s="73"/>
      <c r="F33" s="49"/>
      <c r="G33" s="49"/>
      <c r="H33" s="11" t="e">
        <f t="shared" si="11"/>
        <v>#REF!</v>
      </c>
      <c r="I33" s="50" t="e">
        <f t="shared" si="8"/>
        <v>#REF!</v>
      </c>
      <c r="J33" s="7"/>
    </row>
    <row r="34" spans="1:10">
      <c r="A34" s="203"/>
      <c r="C34" s="40" t="e">
        <f t="shared" si="9"/>
        <v>#REF!</v>
      </c>
      <c r="D34" s="49" t="e">
        <f t="shared" si="10"/>
        <v>#REF!</v>
      </c>
      <c r="E34" s="73"/>
      <c r="F34" s="49"/>
      <c r="G34" s="49"/>
      <c r="H34" s="11" t="e">
        <f t="shared" si="11"/>
        <v>#REF!</v>
      </c>
      <c r="I34" s="50" t="e">
        <f t="shared" si="8"/>
        <v>#REF!</v>
      </c>
      <c r="J34" s="7"/>
    </row>
    <row r="35" spans="1:10">
      <c r="A35" s="203"/>
      <c r="C35" s="40" t="e">
        <f t="shared" si="9"/>
        <v>#REF!</v>
      </c>
      <c r="D35" s="49" t="e">
        <f t="shared" si="10"/>
        <v>#REF!</v>
      </c>
      <c r="E35" s="73"/>
      <c r="F35" s="49"/>
      <c r="G35" s="49"/>
      <c r="H35" s="37" t="e">
        <f t="shared" si="11"/>
        <v>#REF!</v>
      </c>
      <c r="I35" s="50" t="e">
        <f t="shared" si="8"/>
        <v>#REF!</v>
      </c>
      <c r="J35" s="7"/>
    </row>
    <row r="36" spans="1:10">
      <c r="A36" s="203"/>
      <c r="C36" s="40" t="e">
        <f t="shared" si="9"/>
        <v>#REF!</v>
      </c>
      <c r="D36" s="49" t="e">
        <f t="shared" si="10"/>
        <v>#REF!</v>
      </c>
      <c r="E36" s="73"/>
      <c r="F36" s="49"/>
      <c r="G36" s="49"/>
      <c r="H36" s="37" t="e">
        <f t="shared" si="11"/>
        <v>#REF!</v>
      </c>
      <c r="I36" s="50" t="e">
        <f t="shared" si="8"/>
        <v>#REF!</v>
      </c>
      <c r="J36" s="7"/>
    </row>
    <row r="37" spans="1:10">
      <c r="A37" s="203"/>
      <c r="C37" s="40" t="e">
        <f t="shared" si="9"/>
        <v>#REF!</v>
      </c>
      <c r="D37" s="49" t="e">
        <f t="shared" si="10"/>
        <v>#REF!</v>
      </c>
      <c r="E37" s="73"/>
      <c r="F37" s="49"/>
      <c r="G37" s="49"/>
      <c r="H37" s="37" t="e">
        <f t="shared" si="11"/>
        <v>#REF!</v>
      </c>
      <c r="I37" s="50" t="e">
        <f t="shared" si="8"/>
        <v>#REF!</v>
      </c>
      <c r="J37" s="7"/>
    </row>
    <row r="38" spans="1:10" ht="16.5" thickBot="1">
      <c r="A38" s="203"/>
      <c r="C38" s="51" t="s">
        <v>30</v>
      </c>
      <c r="D38" s="52"/>
      <c r="E38" s="75"/>
      <c r="F38" s="52"/>
      <c r="G38" s="52"/>
      <c r="H38" s="30"/>
      <c r="I38" s="54" t="e">
        <f>ROUND(SUM(I29:I37),2)</f>
        <v>#REF!</v>
      </c>
      <c r="J38" s="7"/>
    </row>
    <row r="39" spans="1:10" ht="16.5" thickTop="1">
      <c r="A39" s="203"/>
      <c r="B39" s="26">
        <v>300</v>
      </c>
      <c r="C39" s="55" t="e">
        <f t="shared" si="9"/>
        <v>#REF!</v>
      </c>
      <c r="D39" s="56" t="e">
        <f t="shared" si="10"/>
        <v>#REF!</v>
      </c>
      <c r="E39" s="74" t="e">
        <f>SUM(I38)</f>
        <v>#REF!</v>
      </c>
      <c r="F39" s="56"/>
      <c r="G39" s="56"/>
      <c r="H39" s="76" t="e">
        <f t="shared" si="11"/>
        <v>#REF!</v>
      </c>
      <c r="I39" s="50" t="e">
        <f t="shared" si="8"/>
        <v>#REF!</v>
      </c>
      <c r="J39" s="7"/>
    </row>
    <row r="40" spans="1:10" ht="16.5" thickBot="1">
      <c r="A40" s="168"/>
      <c r="B40" s="28"/>
      <c r="C40" s="51" t="s">
        <v>96</v>
      </c>
      <c r="D40" s="52"/>
      <c r="E40" s="75"/>
      <c r="F40" s="52"/>
      <c r="G40" s="52"/>
      <c r="H40" s="30"/>
      <c r="I40" s="54" t="e">
        <f>ROUND(SUM(I38:I39),2)</f>
        <v>#REF!</v>
      </c>
      <c r="J40" s="7"/>
    </row>
    <row r="41" spans="1:10" ht="16.5" thickTop="1">
      <c r="A41" s="203">
        <v>3</v>
      </c>
      <c r="B41" s="72" t="s">
        <v>25</v>
      </c>
      <c r="C41" s="48" t="s">
        <v>98</v>
      </c>
      <c r="E41" s="73"/>
      <c r="H41" s="11"/>
      <c r="I41" s="50">
        <f t="shared" ref="I41:I52" si="12">ROUND(H41*E41,2)</f>
        <v>0</v>
      </c>
      <c r="J41" s="7"/>
    </row>
    <row r="42" spans="1:10">
      <c r="A42" s="203"/>
      <c r="C42" s="40" t="e">
        <f t="shared" ref="C42:C52" si="13">IF(ISNA(VLOOKUP(B42,CU_EQUIPO,2,FALSE)),0,VLOOKUP(B42,CU_EQUIPO,2,FALSE))</f>
        <v>#REF!</v>
      </c>
      <c r="D42" s="49" t="e">
        <f t="shared" ref="D42:D52" si="14">IF(ISNA(VLOOKUP(B42,CU_EQUIPO,3,FALSE)),0,VLOOKUP(B42,CU_EQUIPO,3,FALSE))</f>
        <v>#REF!</v>
      </c>
      <c r="E42" s="123"/>
      <c r="F42" s="49"/>
      <c r="G42" s="49"/>
      <c r="H42" s="11" t="e">
        <f t="shared" ref="H42:H52" si="15">IF(ISNA(VLOOKUP(B42,CU_EQUIPO,3,FALSE)),0,VLOOKUP(B42,CU_EQUIPO,4,FALSE))</f>
        <v>#REF!</v>
      </c>
      <c r="I42" s="50" t="e">
        <f t="shared" si="12"/>
        <v>#REF!</v>
      </c>
      <c r="J42" s="7"/>
    </row>
    <row r="43" spans="1:10">
      <c r="A43" s="204"/>
      <c r="C43" s="40" t="e">
        <f t="shared" si="13"/>
        <v>#REF!</v>
      </c>
      <c r="D43" s="49" t="e">
        <f t="shared" si="14"/>
        <v>#REF!</v>
      </c>
      <c r="E43" s="123"/>
      <c r="F43" s="49"/>
      <c r="G43" s="49"/>
      <c r="H43" s="19" t="e">
        <f t="shared" si="15"/>
        <v>#REF!</v>
      </c>
      <c r="I43" s="50" t="e">
        <f t="shared" si="12"/>
        <v>#REF!</v>
      </c>
      <c r="J43" s="7"/>
    </row>
    <row r="44" spans="1:10">
      <c r="A44" s="204"/>
      <c r="C44" s="40" t="e">
        <f t="shared" si="13"/>
        <v>#REF!</v>
      </c>
      <c r="D44" s="49" t="e">
        <f t="shared" si="14"/>
        <v>#REF!</v>
      </c>
      <c r="E44" s="123"/>
      <c r="F44" s="49"/>
      <c r="G44" s="49"/>
      <c r="H44" s="19" t="e">
        <f t="shared" si="15"/>
        <v>#REF!</v>
      </c>
      <c r="I44" s="50" t="e">
        <f t="shared" si="12"/>
        <v>#REF!</v>
      </c>
      <c r="J44" s="7"/>
    </row>
    <row r="45" spans="1:10">
      <c r="A45" s="204"/>
      <c r="C45" s="40" t="e">
        <f t="shared" si="13"/>
        <v>#REF!</v>
      </c>
      <c r="D45" s="49" t="e">
        <f t="shared" si="14"/>
        <v>#REF!</v>
      </c>
      <c r="E45" s="123"/>
      <c r="F45" s="49"/>
      <c r="G45" s="49"/>
      <c r="H45" s="11" t="e">
        <f t="shared" si="15"/>
        <v>#REF!</v>
      </c>
      <c r="I45" s="50" t="e">
        <f t="shared" si="12"/>
        <v>#REF!</v>
      </c>
      <c r="J45" s="7"/>
    </row>
    <row r="46" spans="1:10">
      <c r="A46" s="204"/>
      <c r="C46" s="40" t="e">
        <f t="shared" si="13"/>
        <v>#REF!</v>
      </c>
      <c r="D46" s="49" t="e">
        <f t="shared" si="14"/>
        <v>#REF!</v>
      </c>
      <c r="E46" s="73"/>
      <c r="F46" s="49"/>
      <c r="G46" s="49"/>
      <c r="H46" s="11" t="e">
        <f t="shared" si="15"/>
        <v>#REF!</v>
      </c>
      <c r="I46" s="50" t="e">
        <f t="shared" si="12"/>
        <v>#REF!</v>
      </c>
      <c r="J46" s="7"/>
    </row>
    <row r="47" spans="1:10">
      <c r="A47" s="204"/>
      <c r="C47" s="40" t="e">
        <f t="shared" si="13"/>
        <v>#REF!</v>
      </c>
      <c r="D47" s="49" t="e">
        <f t="shared" si="14"/>
        <v>#REF!</v>
      </c>
      <c r="E47" s="73"/>
      <c r="F47" s="49"/>
      <c r="G47" s="49"/>
      <c r="H47" s="11" t="e">
        <f t="shared" si="15"/>
        <v>#REF!</v>
      </c>
      <c r="I47" s="50" t="e">
        <f t="shared" si="12"/>
        <v>#REF!</v>
      </c>
      <c r="J47" s="7"/>
    </row>
    <row r="48" spans="1:10">
      <c r="A48" s="204"/>
      <c r="C48" s="40" t="e">
        <f t="shared" si="13"/>
        <v>#REF!</v>
      </c>
      <c r="D48" s="49" t="e">
        <f t="shared" si="14"/>
        <v>#REF!</v>
      </c>
      <c r="E48" s="73"/>
      <c r="F48" s="49"/>
      <c r="G48" s="49"/>
      <c r="H48" s="11" t="e">
        <f t="shared" si="15"/>
        <v>#REF!</v>
      </c>
      <c r="I48" s="50" t="e">
        <f t="shared" si="12"/>
        <v>#REF!</v>
      </c>
      <c r="J48" s="7"/>
    </row>
    <row r="49" spans="1:10">
      <c r="A49" s="204"/>
      <c r="C49" s="40" t="e">
        <f t="shared" si="13"/>
        <v>#REF!</v>
      </c>
      <c r="D49" s="49" t="e">
        <f t="shared" si="14"/>
        <v>#REF!</v>
      </c>
      <c r="E49" s="73"/>
      <c r="F49" s="49"/>
      <c r="G49" s="49"/>
      <c r="H49" s="11" t="e">
        <f t="shared" si="15"/>
        <v>#REF!</v>
      </c>
      <c r="I49" s="50" t="e">
        <f t="shared" si="12"/>
        <v>#REF!</v>
      </c>
      <c r="J49" s="7"/>
    </row>
    <row r="50" spans="1:10">
      <c r="A50" s="204"/>
      <c r="C50" s="40" t="e">
        <f t="shared" si="13"/>
        <v>#REF!</v>
      </c>
      <c r="D50" s="49" t="e">
        <f t="shared" si="14"/>
        <v>#REF!</v>
      </c>
      <c r="E50" s="73"/>
      <c r="F50" s="49"/>
      <c r="G50" s="49"/>
      <c r="H50" s="11" t="e">
        <f t="shared" si="15"/>
        <v>#REF!</v>
      </c>
      <c r="I50" s="50" t="e">
        <f t="shared" si="12"/>
        <v>#REF!</v>
      </c>
      <c r="J50" s="7"/>
    </row>
    <row r="51" spans="1:10">
      <c r="A51" s="204"/>
      <c r="C51" s="40" t="e">
        <f t="shared" si="13"/>
        <v>#REF!</v>
      </c>
      <c r="D51" s="49" t="e">
        <f t="shared" si="14"/>
        <v>#REF!</v>
      </c>
      <c r="E51" s="73"/>
      <c r="F51" s="49"/>
      <c r="G51" s="49"/>
      <c r="H51" s="11" t="e">
        <f t="shared" si="15"/>
        <v>#REF!</v>
      </c>
      <c r="I51" s="50" t="e">
        <f t="shared" si="12"/>
        <v>#REF!</v>
      </c>
      <c r="J51" s="7"/>
    </row>
    <row r="52" spans="1:10">
      <c r="A52" s="204"/>
      <c r="B52" s="26">
        <v>20000</v>
      </c>
      <c r="C52" s="55" t="e">
        <f t="shared" si="13"/>
        <v>#REF!</v>
      </c>
      <c r="D52" s="56" t="e">
        <f t="shared" si="14"/>
        <v>#REF!</v>
      </c>
      <c r="E52" s="74" t="e">
        <f>E39</f>
        <v>#REF!</v>
      </c>
      <c r="F52" s="56"/>
      <c r="G52" s="56"/>
      <c r="H52" s="76" t="e">
        <f t="shared" si="15"/>
        <v>#REF!</v>
      </c>
      <c r="I52" s="50" t="e">
        <f t="shared" si="12"/>
        <v>#REF!</v>
      </c>
      <c r="J52" s="7"/>
    </row>
    <row r="53" spans="1:10" ht="16.5" thickBot="1">
      <c r="A53" s="28"/>
      <c r="B53" s="28"/>
      <c r="C53" s="51" t="s">
        <v>102</v>
      </c>
      <c r="D53" s="65"/>
      <c r="E53" s="65"/>
      <c r="F53" s="65"/>
      <c r="G53" s="65"/>
      <c r="H53" s="53"/>
      <c r="I53" s="54" t="e">
        <f>ROUND(SUM(I42:I52),2)</f>
        <v>#REF!</v>
      </c>
      <c r="J53" s="7"/>
    </row>
    <row r="54" spans="1:10" ht="16.5" thickTop="1">
      <c r="C54" s="6"/>
      <c r="D54" s="4"/>
      <c r="E54" s="4"/>
      <c r="F54" s="4"/>
      <c r="G54" s="4"/>
      <c r="H54" s="11"/>
      <c r="I54" s="14"/>
      <c r="J54" s="7"/>
    </row>
    <row r="55" spans="1:10" ht="15" customHeight="1">
      <c r="C55" s="17" t="s">
        <v>55</v>
      </c>
      <c r="D55" s="4"/>
      <c r="E55" s="4"/>
      <c r="F55" s="4"/>
      <c r="G55" s="4"/>
      <c r="H55" s="11"/>
      <c r="I55" s="15" t="e">
        <f>I27+I40+I53</f>
        <v>#REF!</v>
      </c>
      <c r="J55" s="7"/>
    </row>
    <row r="56" spans="1:10" ht="24.75" customHeight="1" thickBot="1">
      <c r="A56" s="103"/>
      <c r="B56" s="103"/>
      <c r="C56" s="104"/>
      <c r="D56" s="103"/>
      <c r="E56" s="103"/>
      <c r="F56" s="103"/>
      <c r="G56" s="103"/>
      <c r="H56" s="105"/>
      <c r="I56" s="107"/>
      <c r="J56" s="7"/>
    </row>
    <row r="57" spans="1:10" ht="18" customHeight="1" thickTop="1">
      <c r="A57" s="203">
        <v>4</v>
      </c>
      <c r="C57" s="17" t="s">
        <v>50</v>
      </c>
      <c r="D57" s="4"/>
      <c r="E57" s="4"/>
      <c r="F57" s="4"/>
      <c r="G57" s="4"/>
      <c r="H57" s="11"/>
      <c r="I57" s="14"/>
      <c r="J57" s="7"/>
    </row>
    <row r="58" spans="1:10">
      <c r="C58" s="6"/>
      <c r="D58" s="4"/>
      <c r="E58" s="4"/>
      <c r="F58" s="4"/>
      <c r="G58" s="4"/>
      <c r="H58" s="147"/>
      <c r="I58" s="14"/>
      <c r="J58" s="7"/>
    </row>
    <row r="59" spans="1:10">
      <c r="C59" s="6" t="s">
        <v>99</v>
      </c>
      <c r="D59" s="4"/>
      <c r="E59" s="4"/>
      <c r="F59" s="4"/>
      <c r="G59" s="4"/>
      <c r="H59" s="147">
        <f>Presupuesto!E88</f>
        <v>0.13</v>
      </c>
      <c r="I59" s="14" t="e">
        <f>ROUND((Presupuesto!E88)*I55,2)</f>
        <v>#REF!</v>
      </c>
      <c r="J59" s="7"/>
    </row>
    <row r="60" spans="1:10" hidden="1">
      <c r="C60" s="6" t="s">
        <v>100</v>
      </c>
      <c r="D60" s="4"/>
      <c r="E60" s="4"/>
      <c r="F60" s="4"/>
      <c r="G60" s="4"/>
      <c r="H60" s="147">
        <f>Presupuesto!E89</f>
        <v>0</v>
      </c>
      <c r="I60" s="14" t="e">
        <f>ROUND((Presupuesto!E89)*I55,2)</f>
        <v>#REF!</v>
      </c>
      <c r="J60" s="7"/>
    </row>
    <row r="61" spans="1:10" ht="16.5" thickBot="1">
      <c r="A61" s="28"/>
      <c r="B61" s="28"/>
      <c r="C61" s="29" t="s">
        <v>53</v>
      </c>
      <c r="D61" s="28"/>
      <c r="E61" s="28"/>
      <c r="F61" s="28"/>
      <c r="G61" s="28"/>
      <c r="H61" s="148"/>
      <c r="I61" s="108" t="e">
        <f>SUM(I59:I60)</f>
        <v>#REF!</v>
      </c>
    </row>
    <row r="62" spans="1:10" ht="16.5" thickTop="1">
      <c r="A62" s="203">
        <v>5</v>
      </c>
      <c r="C62" s="17" t="s">
        <v>16</v>
      </c>
      <c r="D62" s="4"/>
      <c r="E62" s="4"/>
      <c r="F62" s="4"/>
      <c r="G62" s="4"/>
      <c r="H62" s="147"/>
      <c r="I62" s="14"/>
    </row>
    <row r="63" spans="1:10">
      <c r="C63" s="6"/>
      <c r="D63" s="4"/>
      <c r="E63" s="4"/>
      <c r="F63" s="4"/>
      <c r="G63" s="4"/>
      <c r="H63" s="147"/>
      <c r="I63" s="14"/>
    </row>
    <row r="64" spans="1:10">
      <c r="C64" s="6" t="s">
        <v>101</v>
      </c>
      <c r="D64" s="4"/>
      <c r="E64" s="4"/>
      <c r="F64" s="4"/>
      <c r="G64" s="4"/>
      <c r="H64" s="147">
        <f>Presupuesto!E90</f>
        <v>7.0000000000000007E-2</v>
      </c>
      <c r="I64" s="14" t="e">
        <f>ROUND((Presupuesto!E90)*(I55+I61),2)</f>
        <v>#REF!</v>
      </c>
    </row>
    <row r="65" spans="1:12" ht="16.5" thickBot="1">
      <c r="A65" s="28"/>
      <c r="B65" s="28"/>
      <c r="C65" s="29" t="s">
        <v>54</v>
      </c>
      <c r="D65" s="28"/>
      <c r="E65" s="28"/>
      <c r="F65" s="28"/>
      <c r="G65" s="28"/>
      <c r="H65" s="148"/>
      <c r="I65" s="108" t="e">
        <f>SUM(I64)</f>
        <v>#REF!</v>
      </c>
    </row>
    <row r="66" spans="1:12" ht="16.5" hidden="1" thickTop="1">
      <c r="C66" s="6"/>
      <c r="D66" s="4"/>
      <c r="E66" s="4"/>
      <c r="F66" s="4"/>
      <c r="G66" s="4"/>
      <c r="H66" s="11"/>
      <c r="I66" s="14"/>
    </row>
    <row r="67" spans="1:12" hidden="1">
      <c r="A67" s="8"/>
      <c r="B67" s="8"/>
      <c r="C67" s="109" t="s">
        <v>56</v>
      </c>
      <c r="D67" s="8"/>
      <c r="E67" s="8"/>
      <c r="F67" s="8"/>
      <c r="G67" s="8"/>
      <c r="H67" s="110"/>
      <c r="I67" s="112" t="e">
        <f>+I61+I65</f>
        <v>#REF!</v>
      </c>
    </row>
    <row r="68" spans="1:12" ht="16.5" hidden="1" thickBot="1">
      <c r="A68" s="103"/>
      <c r="B68" s="103"/>
      <c r="C68" s="104"/>
      <c r="D68" s="103"/>
      <c r="E68" s="103"/>
      <c r="F68" s="103"/>
      <c r="G68" s="103"/>
      <c r="H68" s="105"/>
      <c r="I68" s="113"/>
    </row>
    <row r="69" spans="1:12" ht="16.5" thickTop="1">
      <c r="A69" s="8"/>
      <c r="B69" s="8"/>
      <c r="C69" s="32"/>
      <c r="D69" s="8"/>
      <c r="E69" s="8"/>
      <c r="F69" s="8"/>
      <c r="G69" s="8"/>
      <c r="H69" s="110"/>
      <c r="I69" s="114"/>
    </row>
    <row r="70" spans="1:12">
      <c r="C70" s="17" t="s">
        <v>57</v>
      </c>
      <c r="D70" s="4"/>
      <c r="E70" s="4"/>
      <c r="F70" s="4"/>
      <c r="G70" s="4"/>
      <c r="H70" s="11"/>
      <c r="I70" s="57" t="e">
        <f>TRUNC(I55+I67,2)</f>
        <v>#REF!</v>
      </c>
      <c r="J70" s="4">
        <v>3160.78</v>
      </c>
    </row>
    <row r="71" spans="1:12" ht="16.5" thickBot="1">
      <c r="A71" s="5"/>
      <c r="B71" s="5"/>
      <c r="C71" s="33"/>
      <c r="D71" s="5"/>
      <c r="E71" s="5"/>
      <c r="F71" s="5"/>
      <c r="G71" s="5"/>
      <c r="H71" s="20"/>
      <c r="I71" s="35"/>
      <c r="L71" s="156"/>
    </row>
  </sheetData>
  <mergeCells count="8">
    <mergeCell ref="A1:I2"/>
    <mergeCell ref="A3:I3"/>
    <mergeCell ref="A10:A11"/>
    <mergeCell ref="C10:C11"/>
    <mergeCell ref="D10:D11"/>
    <mergeCell ref="E10:E11"/>
    <mergeCell ref="I10:I11"/>
    <mergeCell ref="C4:H4"/>
  </mergeCells>
  <phoneticPr fontId="0" type="noConversion"/>
  <printOptions horizontalCentered="1" verticalCentered="1"/>
  <pageMargins left="0.91" right="0.75" top="0.8" bottom="1" header="0" footer="0"/>
  <pageSetup scale="63" orientation="portrait" horizontalDpi="300" verticalDpi="300" r:id="rId1"/>
  <headerFooter alignWithMargins="0"/>
  <ignoredErrors>
    <ignoredError sqref="I27 I53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L71"/>
  <sheetViews>
    <sheetView showGridLines="0" showZeros="0" view="pageBreakPreview" zoomScale="95" zoomScaleNormal="75" zoomScaleSheetLayoutView="95" workbookViewId="0">
      <pane ySplit="11" topLeftCell="A51" activePane="bottomLeft" state="frozen"/>
      <selection activeCell="E26" sqref="E26"/>
      <selection pane="bottomLeft" activeCell="C7" sqref="C7"/>
    </sheetView>
  </sheetViews>
  <sheetFormatPr baseColWidth="10" defaultColWidth="9.140625" defaultRowHeight="15.75"/>
  <cols>
    <col min="1" max="1" width="15" style="4" customWidth="1"/>
    <col min="2" max="2" width="10.42578125" style="4" customWidth="1"/>
    <col min="3" max="3" width="46.140625" style="40" customWidth="1"/>
    <col min="4" max="4" width="14.7109375" style="39" customWidth="1"/>
    <col min="5" max="5" width="17.85546875" style="39" customWidth="1"/>
    <col min="6" max="6" width="17.140625" style="39" hidden="1" customWidth="1"/>
    <col min="7" max="7" width="20" style="39" hidden="1" customWidth="1"/>
    <col min="8" max="8" width="20.42578125" style="46" customWidth="1"/>
    <col min="9" max="9" width="15.7109375" style="39" customWidth="1"/>
    <col min="10" max="10" width="11.5703125" style="4" customWidth="1"/>
    <col min="11" max="11" width="9.140625" style="4"/>
    <col min="12" max="12" width="20.140625" style="4" bestFit="1" customWidth="1"/>
    <col min="13" max="16384" width="9.140625" style="4"/>
  </cols>
  <sheetData>
    <row r="1" spans="1:10" ht="15.75" customHeight="1">
      <c r="A1" s="322" t="s">
        <v>97</v>
      </c>
      <c r="B1" s="322"/>
      <c r="C1" s="322"/>
      <c r="D1" s="322"/>
      <c r="E1" s="322"/>
      <c r="F1" s="322"/>
      <c r="G1" s="322"/>
      <c r="H1" s="322"/>
      <c r="I1" s="322"/>
    </row>
    <row r="2" spans="1:10" ht="13.5" customHeight="1">
      <c r="A2" s="322"/>
      <c r="B2" s="322"/>
      <c r="C2" s="322"/>
      <c r="D2" s="322"/>
      <c r="E2" s="322"/>
      <c r="F2" s="322"/>
      <c r="G2" s="322"/>
      <c r="H2" s="322"/>
      <c r="I2" s="322"/>
    </row>
    <row r="3" spans="1:10" ht="13.5" customHeight="1">
      <c r="A3" s="323"/>
      <c r="B3" s="323"/>
      <c r="C3" s="323"/>
      <c r="D3" s="323"/>
      <c r="E3" s="323"/>
      <c r="F3" s="323"/>
      <c r="G3" s="323"/>
      <c r="H3" s="323"/>
      <c r="I3" s="323"/>
    </row>
    <row r="4" spans="1:10" ht="13.5" customHeight="1">
      <c r="A4" s="24"/>
      <c r="B4" s="22" t="e">
        <f>#REF!</f>
        <v>#REF!</v>
      </c>
      <c r="C4" s="324"/>
      <c r="D4" s="324"/>
      <c r="E4" s="324"/>
      <c r="F4" s="324"/>
      <c r="G4" s="324"/>
      <c r="H4" s="324"/>
      <c r="I4" s="38"/>
    </row>
    <row r="5" spans="1:10" ht="13.5" customHeight="1">
      <c r="A5" s="24"/>
      <c r="B5" s="22"/>
      <c r="C5" s="38"/>
      <c r="D5" s="38"/>
      <c r="E5" s="38"/>
      <c r="F5" s="38"/>
      <c r="G5" s="38"/>
      <c r="H5" s="38"/>
      <c r="I5" s="38"/>
    </row>
    <row r="6" spans="1:10" ht="15" customHeight="1">
      <c r="A6" s="109" t="s">
        <v>43</v>
      </c>
      <c r="B6" s="16"/>
      <c r="C6" s="162" t="s">
        <v>189</v>
      </c>
      <c r="I6" s="81"/>
    </row>
    <row r="7" spans="1:10" ht="13.5" customHeight="1">
      <c r="A7" s="109" t="s">
        <v>112</v>
      </c>
      <c r="B7" s="162"/>
      <c r="C7" s="162" t="s">
        <v>4</v>
      </c>
      <c r="I7" s="81"/>
    </row>
    <row r="8" spans="1:10" ht="13.5" customHeight="1">
      <c r="A8" s="109" t="s">
        <v>113</v>
      </c>
      <c r="B8" s="162"/>
      <c r="C8" s="163">
        <v>1</v>
      </c>
      <c r="I8" s="81"/>
    </row>
    <row r="9" spans="1:10" ht="16.5" thickBot="1">
      <c r="A9" s="20"/>
      <c r="B9" s="5"/>
      <c r="C9" s="41"/>
      <c r="D9" s="42"/>
      <c r="E9" s="42"/>
      <c r="F9" s="42"/>
      <c r="G9" s="42"/>
      <c r="H9" s="20"/>
      <c r="I9" s="43"/>
    </row>
    <row r="10" spans="1:10" ht="15.75" customHeight="1">
      <c r="A10" s="325" t="s">
        <v>2</v>
      </c>
      <c r="C10" s="325" t="s">
        <v>3</v>
      </c>
      <c r="D10" s="325" t="s">
        <v>4</v>
      </c>
      <c r="E10" s="325" t="s">
        <v>5</v>
      </c>
      <c r="F10" s="244" t="s">
        <v>36</v>
      </c>
      <c r="G10" s="244" t="s">
        <v>26</v>
      </c>
      <c r="H10" s="13" t="s">
        <v>26</v>
      </c>
      <c r="I10" s="327" t="s">
        <v>124</v>
      </c>
      <c r="J10" s="18"/>
    </row>
    <row r="11" spans="1:10">
      <c r="A11" s="326"/>
      <c r="B11" s="9"/>
      <c r="C11" s="326"/>
      <c r="D11" s="326"/>
      <c r="E11" s="326"/>
      <c r="F11" s="9" t="s">
        <v>76</v>
      </c>
      <c r="G11" s="9" t="s">
        <v>77</v>
      </c>
      <c r="H11" s="21" t="s">
        <v>123</v>
      </c>
      <c r="I11" s="328"/>
    </row>
    <row r="12" spans="1:10">
      <c r="A12" s="244">
        <v>1</v>
      </c>
      <c r="B12" s="72" t="s">
        <v>25</v>
      </c>
      <c r="C12" s="48" t="s">
        <v>9</v>
      </c>
      <c r="E12" s="68"/>
      <c r="H12" s="49"/>
    </row>
    <row r="13" spans="1:10">
      <c r="A13" s="244"/>
      <c r="B13" s="4">
        <v>800</v>
      </c>
      <c r="C13" s="40" t="e">
        <f t="shared" ref="C13:C26" si="0">IF(ISNA(VLOOKUP(B13,CU_MATERIALES,2,FALSE)),0,VLOOKUP(B13,CU_MATERIALES,2,FALSE))</f>
        <v>#REF!</v>
      </c>
      <c r="D13" s="49" t="e">
        <f t="shared" ref="D13:D26" si="1">IF(ISNA(VLOOKUP(B13,CU_MATERIALES,3,FALSE)),0,VLOOKUP(B13,CU_MATERIALES,3,FALSE))</f>
        <v>#REF!</v>
      </c>
      <c r="E13" s="123">
        <v>1</v>
      </c>
      <c r="F13" s="49"/>
      <c r="G13" s="49"/>
      <c r="H13" s="11" t="e">
        <f t="shared" ref="H13:H26" si="2">IF(ISNA(VLOOKUP(B13,CU_MATERIALES,3,FALSE)),0,VLOOKUP(B13,CU_MATERIALES,4,FALSE))</f>
        <v>#REF!</v>
      </c>
      <c r="I13" s="50" t="e">
        <f>ROUND(H13*E13,2)</f>
        <v>#REF!</v>
      </c>
      <c r="J13" s="7"/>
    </row>
    <row r="14" spans="1:10">
      <c r="A14" s="244"/>
      <c r="B14" s="4">
        <v>8000</v>
      </c>
      <c r="C14" s="40" t="e">
        <f t="shared" si="0"/>
        <v>#REF!</v>
      </c>
      <c r="D14" s="49" t="e">
        <f t="shared" si="1"/>
        <v>#REF!</v>
      </c>
      <c r="E14" s="123">
        <v>1.5</v>
      </c>
      <c r="F14" s="49"/>
      <c r="G14" s="49"/>
      <c r="H14" s="11" t="e">
        <f t="shared" si="2"/>
        <v>#REF!</v>
      </c>
      <c r="I14" s="50" t="e">
        <f t="shared" ref="I14:I26" si="3">ROUND(H14*E14,2)</f>
        <v>#REF!</v>
      </c>
      <c r="J14" s="7"/>
    </row>
    <row r="15" spans="1:10">
      <c r="A15" s="244"/>
      <c r="B15" s="4">
        <v>9000</v>
      </c>
      <c r="C15" s="40" t="e">
        <f t="shared" si="0"/>
        <v>#REF!</v>
      </c>
      <c r="D15" s="49" t="e">
        <f t="shared" si="1"/>
        <v>#REF!</v>
      </c>
      <c r="E15" s="123">
        <v>6.8000000000000005E-2</v>
      </c>
      <c r="F15" s="49"/>
      <c r="G15" s="49"/>
      <c r="H15" s="11" t="e">
        <f t="shared" si="2"/>
        <v>#REF!</v>
      </c>
      <c r="I15" s="50" t="e">
        <f t="shared" si="3"/>
        <v>#REF!</v>
      </c>
      <c r="J15" s="7"/>
    </row>
    <row r="16" spans="1:10">
      <c r="A16" s="244"/>
      <c r="B16" s="4">
        <v>10000</v>
      </c>
      <c r="C16" s="40" t="e">
        <f t="shared" si="0"/>
        <v>#REF!</v>
      </c>
      <c r="D16" s="49" t="e">
        <f t="shared" si="1"/>
        <v>#REF!</v>
      </c>
      <c r="E16" s="123">
        <v>1.5</v>
      </c>
      <c r="F16" s="49"/>
      <c r="G16" s="49"/>
      <c r="H16" s="11" t="e">
        <f t="shared" si="2"/>
        <v>#REF!</v>
      </c>
      <c r="I16" s="50" t="e">
        <f t="shared" si="3"/>
        <v>#REF!</v>
      </c>
      <c r="J16" s="7"/>
    </row>
    <row r="17" spans="1:10">
      <c r="A17" s="244"/>
      <c r="B17" s="4">
        <v>10100</v>
      </c>
      <c r="C17" s="40" t="e">
        <f t="shared" si="0"/>
        <v>#REF!</v>
      </c>
      <c r="D17" s="49" t="e">
        <f t="shared" si="1"/>
        <v>#REF!</v>
      </c>
      <c r="E17" s="123">
        <v>6.9000000000000006E-2</v>
      </c>
      <c r="F17" s="49"/>
      <c r="G17" s="49"/>
      <c r="H17" s="11" t="e">
        <f t="shared" si="2"/>
        <v>#REF!</v>
      </c>
      <c r="I17" s="50" t="e">
        <f t="shared" si="3"/>
        <v>#REF!</v>
      </c>
      <c r="J17" s="7"/>
    </row>
    <row r="18" spans="1:10">
      <c r="A18" s="244"/>
      <c r="B18" s="4">
        <v>10200</v>
      </c>
      <c r="C18" s="40" t="e">
        <f t="shared" si="0"/>
        <v>#REF!</v>
      </c>
      <c r="D18" s="49" t="e">
        <f t="shared" si="1"/>
        <v>#REF!</v>
      </c>
      <c r="E18" s="123">
        <v>0.09</v>
      </c>
      <c r="F18" s="49"/>
      <c r="G18" s="49"/>
      <c r="H18" s="11" t="e">
        <f t="shared" si="2"/>
        <v>#REF!</v>
      </c>
      <c r="I18" s="50" t="e">
        <f t="shared" si="3"/>
        <v>#REF!</v>
      </c>
      <c r="J18" s="7"/>
    </row>
    <row r="19" spans="1:10">
      <c r="A19" s="244"/>
      <c r="B19" s="4">
        <v>10300</v>
      </c>
      <c r="C19" s="40" t="e">
        <f t="shared" si="0"/>
        <v>#REF!</v>
      </c>
      <c r="D19" s="171" t="e">
        <f t="shared" si="1"/>
        <v>#REF!</v>
      </c>
      <c r="E19" s="123">
        <v>1.7000000000000001E-2</v>
      </c>
      <c r="F19" s="49"/>
      <c r="G19" s="49"/>
      <c r="H19" s="11" t="e">
        <f t="shared" si="2"/>
        <v>#REF!</v>
      </c>
      <c r="I19" s="50" t="e">
        <f t="shared" si="3"/>
        <v>#REF!</v>
      </c>
      <c r="J19" s="7"/>
    </row>
    <row r="20" spans="1:10">
      <c r="A20" s="244"/>
      <c r="B20" s="4">
        <v>10400</v>
      </c>
      <c r="C20" s="40" t="e">
        <f t="shared" si="0"/>
        <v>#REF!</v>
      </c>
      <c r="D20" s="49" t="e">
        <f t="shared" si="1"/>
        <v>#REF!</v>
      </c>
      <c r="E20" s="123">
        <v>8</v>
      </c>
      <c r="F20" s="49"/>
      <c r="G20" s="49"/>
      <c r="H20" s="11" t="e">
        <f t="shared" si="2"/>
        <v>#REF!</v>
      </c>
      <c r="I20" s="50" t="e">
        <f t="shared" si="3"/>
        <v>#REF!</v>
      </c>
      <c r="J20" s="7"/>
    </row>
    <row r="21" spans="1:10">
      <c r="A21" s="244"/>
      <c r="B21" s="4">
        <v>10500</v>
      </c>
      <c r="C21" s="40" t="e">
        <f t="shared" si="0"/>
        <v>#REF!</v>
      </c>
      <c r="D21" s="49" t="e">
        <f t="shared" si="1"/>
        <v>#REF!</v>
      </c>
      <c r="E21" s="123">
        <v>8</v>
      </c>
      <c r="F21" s="49"/>
      <c r="G21" s="49"/>
      <c r="H21" s="11" t="e">
        <f t="shared" si="2"/>
        <v>#REF!</v>
      </c>
      <c r="I21" s="50" t="e">
        <f t="shared" si="3"/>
        <v>#REF!</v>
      </c>
      <c r="J21" s="7"/>
    </row>
    <row r="22" spans="1:10">
      <c r="A22" s="244"/>
      <c r="B22" s="4">
        <v>10600</v>
      </c>
      <c r="C22" s="40" t="e">
        <f t="shared" si="0"/>
        <v>#REF!</v>
      </c>
      <c r="D22" s="49" t="e">
        <f t="shared" si="1"/>
        <v>#REF!</v>
      </c>
      <c r="E22" s="123">
        <v>16</v>
      </c>
      <c r="F22" s="49"/>
      <c r="G22" s="49"/>
      <c r="H22" s="11" t="e">
        <f t="shared" si="2"/>
        <v>#REF!</v>
      </c>
      <c r="I22" s="50" t="e">
        <f t="shared" si="3"/>
        <v>#REF!</v>
      </c>
      <c r="J22" s="7"/>
    </row>
    <row r="23" spans="1:10">
      <c r="A23" s="244"/>
      <c r="B23" s="4">
        <v>2201</v>
      </c>
      <c r="C23" s="40" t="e">
        <f t="shared" si="0"/>
        <v>#REF!</v>
      </c>
      <c r="D23" s="49" t="e">
        <f t="shared" si="1"/>
        <v>#REF!</v>
      </c>
      <c r="E23" s="123">
        <v>0.54700000000000004</v>
      </c>
      <c r="F23" s="49"/>
      <c r="G23" s="49"/>
      <c r="H23" s="11" t="e">
        <f t="shared" si="2"/>
        <v>#REF!</v>
      </c>
      <c r="I23" s="50" t="e">
        <f t="shared" si="3"/>
        <v>#REF!</v>
      </c>
      <c r="J23" s="7"/>
    </row>
    <row r="24" spans="1:10">
      <c r="A24" s="244"/>
      <c r="B24" s="4">
        <v>500</v>
      </c>
      <c r="C24" s="40" t="e">
        <f t="shared" si="0"/>
        <v>#REF!</v>
      </c>
      <c r="D24" s="49" t="e">
        <f t="shared" si="1"/>
        <v>#REF!</v>
      </c>
      <c r="E24" s="123">
        <v>3.2000000000000001E-2</v>
      </c>
      <c r="F24" s="49"/>
      <c r="G24" s="49"/>
      <c r="H24" s="11" t="e">
        <f t="shared" si="2"/>
        <v>#REF!</v>
      </c>
      <c r="I24" s="50" t="e">
        <f t="shared" si="3"/>
        <v>#REF!</v>
      </c>
      <c r="J24" s="7"/>
    </row>
    <row r="25" spans="1:10">
      <c r="A25" s="244"/>
      <c r="B25" s="4">
        <v>6000</v>
      </c>
      <c r="C25" s="40" t="e">
        <f t="shared" si="0"/>
        <v>#REF!</v>
      </c>
      <c r="D25" s="49" t="e">
        <f t="shared" si="1"/>
        <v>#REF!</v>
      </c>
      <c r="E25" s="123">
        <v>3.2000000000000001E-2</v>
      </c>
      <c r="F25" s="49"/>
      <c r="G25" s="49"/>
      <c r="H25" s="11" t="e">
        <f t="shared" si="2"/>
        <v>#REF!</v>
      </c>
      <c r="I25" s="50" t="e">
        <f t="shared" si="3"/>
        <v>#REF!</v>
      </c>
      <c r="J25" s="7"/>
    </row>
    <row r="26" spans="1:10">
      <c r="A26" s="244"/>
      <c r="B26" s="4">
        <v>200</v>
      </c>
      <c r="C26" s="40" t="e">
        <f t="shared" si="0"/>
        <v>#REF!</v>
      </c>
      <c r="D26" s="49" t="e">
        <f t="shared" si="1"/>
        <v>#REF!</v>
      </c>
      <c r="E26" s="123">
        <v>1.6E-2</v>
      </c>
      <c r="F26" s="49"/>
      <c r="G26" s="49"/>
      <c r="H26" s="11" t="e">
        <f t="shared" si="2"/>
        <v>#REF!</v>
      </c>
      <c r="I26" s="50" t="e">
        <f t="shared" si="3"/>
        <v>#REF!</v>
      </c>
      <c r="J26" s="7"/>
    </row>
    <row r="27" spans="1:10" ht="16.5" thickBot="1">
      <c r="A27" s="168"/>
      <c r="B27" s="28"/>
      <c r="C27" s="51" t="s">
        <v>95</v>
      </c>
      <c r="D27" s="52"/>
      <c r="E27" s="75"/>
      <c r="F27" s="52"/>
      <c r="G27" s="52"/>
      <c r="H27" s="30"/>
      <c r="I27" s="54" t="e">
        <f>ROUND(SUM(I13:I26),2)</f>
        <v>#REF!</v>
      </c>
      <c r="J27" s="7"/>
    </row>
    <row r="28" spans="1:10" ht="16.5" thickTop="1">
      <c r="A28" s="244">
        <v>2</v>
      </c>
      <c r="B28" s="72" t="s">
        <v>25</v>
      </c>
      <c r="C28" s="48" t="s">
        <v>29</v>
      </c>
      <c r="E28" s="73"/>
      <c r="H28" s="11"/>
      <c r="I28" s="50">
        <f t="shared" ref="I28:I39" si="4">ROUND(H28*E28,2)</f>
        <v>0</v>
      </c>
      <c r="J28" s="7"/>
    </row>
    <row r="29" spans="1:10">
      <c r="A29" s="244"/>
      <c r="B29" s="4">
        <v>4900</v>
      </c>
      <c r="C29" s="40" t="e">
        <f t="shared" ref="C29:C39" si="5">IF(ISNA(VLOOKUP(B29,CU_MANO_DE_OBRA,2,FALSE)),0,VLOOKUP(B29,CU_MANO_DE_OBRA,2,FALSE))</f>
        <v>#REF!</v>
      </c>
      <c r="D29" s="49" t="e">
        <f t="shared" ref="D29:D39" si="6">IF(ISNA(VLOOKUP(B29,CU_MANO_DE_OBRA,3,FALSE)),0,VLOOKUP(B29,CU_MANO_DE_OBRA,3,FALSE))</f>
        <v>#REF!</v>
      </c>
      <c r="E29" s="123">
        <v>0.3</v>
      </c>
      <c r="F29" s="49"/>
      <c r="G29" s="49"/>
      <c r="H29" s="11" t="e">
        <f t="shared" ref="H29:H39" si="7">IF(ISNA(VLOOKUP(B29,CU_MANO_DE_OBRA,3,FALSE)),0,VLOOKUP(B29,CU_MANO_DE_OBRA,4,FALSE))</f>
        <v>#REF!</v>
      </c>
      <c r="I29" s="50" t="e">
        <f t="shared" si="4"/>
        <v>#REF!</v>
      </c>
      <c r="J29" s="7"/>
    </row>
    <row r="30" spans="1:10">
      <c r="A30" s="244"/>
      <c r="B30" s="4">
        <v>5000</v>
      </c>
      <c r="C30" s="40" t="e">
        <f t="shared" si="5"/>
        <v>#REF!</v>
      </c>
      <c r="D30" s="49" t="e">
        <f t="shared" si="6"/>
        <v>#REF!</v>
      </c>
      <c r="E30" s="123">
        <v>0.3</v>
      </c>
      <c r="F30" s="49"/>
      <c r="G30" s="49"/>
      <c r="H30" s="11" t="e">
        <f t="shared" si="7"/>
        <v>#REF!</v>
      </c>
      <c r="I30" s="50" t="e">
        <f t="shared" si="4"/>
        <v>#REF!</v>
      </c>
      <c r="J30" s="7"/>
    </row>
    <row r="31" spans="1:10">
      <c r="A31" s="244"/>
      <c r="C31" s="40" t="e">
        <f t="shared" si="5"/>
        <v>#REF!</v>
      </c>
      <c r="D31" s="49" t="e">
        <f t="shared" si="6"/>
        <v>#REF!</v>
      </c>
      <c r="E31" s="123"/>
      <c r="F31" s="49"/>
      <c r="G31" s="49"/>
      <c r="H31" s="11" t="e">
        <f t="shared" si="7"/>
        <v>#REF!</v>
      </c>
      <c r="I31" s="50" t="e">
        <f t="shared" si="4"/>
        <v>#REF!</v>
      </c>
      <c r="J31" s="7"/>
    </row>
    <row r="32" spans="1:10">
      <c r="A32" s="244"/>
      <c r="C32" s="40" t="e">
        <f t="shared" si="5"/>
        <v>#REF!</v>
      </c>
      <c r="D32" s="49" t="e">
        <f t="shared" si="6"/>
        <v>#REF!</v>
      </c>
      <c r="E32" s="123"/>
      <c r="F32" s="49"/>
      <c r="G32" s="49"/>
      <c r="H32" s="11" t="e">
        <f t="shared" si="7"/>
        <v>#REF!</v>
      </c>
      <c r="I32" s="50" t="e">
        <f t="shared" si="4"/>
        <v>#REF!</v>
      </c>
      <c r="J32" s="7"/>
    </row>
    <row r="33" spans="1:10">
      <c r="A33" s="244"/>
      <c r="C33" s="40" t="e">
        <f t="shared" si="5"/>
        <v>#REF!</v>
      </c>
      <c r="D33" s="49" t="e">
        <f t="shared" si="6"/>
        <v>#REF!</v>
      </c>
      <c r="E33" s="73"/>
      <c r="F33" s="49"/>
      <c r="G33" s="49"/>
      <c r="H33" s="11" t="e">
        <f t="shared" si="7"/>
        <v>#REF!</v>
      </c>
      <c r="I33" s="50" t="e">
        <f t="shared" si="4"/>
        <v>#REF!</v>
      </c>
      <c r="J33" s="7"/>
    </row>
    <row r="34" spans="1:10">
      <c r="A34" s="244"/>
      <c r="C34" s="40" t="e">
        <f t="shared" si="5"/>
        <v>#REF!</v>
      </c>
      <c r="D34" s="49" t="e">
        <f t="shared" si="6"/>
        <v>#REF!</v>
      </c>
      <c r="E34" s="73"/>
      <c r="F34" s="49"/>
      <c r="G34" s="49"/>
      <c r="H34" s="11" t="e">
        <f t="shared" si="7"/>
        <v>#REF!</v>
      </c>
      <c r="I34" s="50" t="e">
        <f t="shared" si="4"/>
        <v>#REF!</v>
      </c>
      <c r="J34" s="7"/>
    </row>
    <row r="35" spans="1:10">
      <c r="A35" s="244"/>
      <c r="C35" s="40" t="e">
        <f t="shared" si="5"/>
        <v>#REF!</v>
      </c>
      <c r="D35" s="49" t="e">
        <f t="shared" si="6"/>
        <v>#REF!</v>
      </c>
      <c r="E35" s="73"/>
      <c r="F35" s="49"/>
      <c r="G35" s="49"/>
      <c r="H35" s="37" t="e">
        <f t="shared" si="7"/>
        <v>#REF!</v>
      </c>
      <c r="I35" s="50" t="e">
        <f t="shared" si="4"/>
        <v>#REF!</v>
      </c>
      <c r="J35" s="7"/>
    </row>
    <row r="36" spans="1:10">
      <c r="A36" s="244"/>
      <c r="C36" s="40" t="e">
        <f t="shared" si="5"/>
        <v>#REF!</v>
      </c>
      <c r="D36" s="49" t="e">
        <f t="shared" si="6"/>
        <v>#REF!</v>
      </c>
      <c r="E36" s="73"/>
      <c r="F36" s="49"/>
      <c r="G36" s="49"/>
      <c r="H36" s="37" t="e">
        <f t="shared" si="7"/>
        <v>#REF!</v>
      </c>
      <c r="I36" s="50" t="e">
        <f t="shared" si="4"/>
        <v>#REF!</v>
      </c>
      <c r="J36" s="7"/>
    </row>
    <row r="37" spans="1:10">
      <c r="A37" s="244"/>
      <c r="C37" s="40" t="e">
        <f t="shared" si="5"/>
        <v>#REF!</v>
      </c>
      <c r="D37" s="49" t="e">
        <f t="shared" si="6"/>
        <v>#REF!</v>
      </c>
      <c r="E37" s="73"/>
      <c r="F37" s="49"/>
      <c r="G37" s="49"/>
      <c r="H37" s="37" t="e">
        <f t="shared" si="7"/>
        <v>#REF!</v>
      </c>
      <c r="I37" s="50" t="e">
        <f t="shared" si="4"/>
        <v>#REF!</v>
      </c>
      <c r="J37" s="7"/>
    </row>
    <row r="38" spans="1:10" ht="16.5" thickBot="1">
      <c r="A38" s="244"/>
      <c r="C38" s="51" t="s">
        <v>30</v>
      </c>
      <c r="D38" s="52"/>
      <c r="E38" s="75"/>
      <c r="F38" s="52"/>
      <c r="G38" s="52"/>
      <c r="H38" s="30"/>
      <c r="I38" s="54" t="e">
        <f>ROUND(SUM(I29:I37),2)</f>
        <v>#REF!</v>
      </c>
      <c r="J38" s="7"/>
    </row>
    <row r="39" spans="1:10" ht="16.5" thickTop="1">
      <c r="A39" s="244"/>
      <c r="B39" s="26">
        <v>300</v>
      </c>
      <c r="C39" s="55" t="e">
        <f t="shared" si="5"/>
        <v>#REF!</v>
      </c>
      <c r="D39" s="56" t="e">
        <f t="shared" si="6"/>
        <v>#REF!</v>
      </c>
      <c r="E39" s="74" t="e">
        <f>SUM(I38)</f>
        <v>#REF!</v>
      </c>
      <c r="F39" s="56"/>
      <c r="G39" s="56"/>
      <c r="H39" s="76" t="e">
        <f t="shared" si="7"/>
        <v>#REF!</v>
      </c>
      <c r="I39" s="50" t="e">
        <f t="shared" si="4"/>
        <v>#REF!</v>
      </c>
      <c r="J39" s="7"/>
    </row>
    <row r="40" spans="1:10" ht="16.5" thickBot="1">
      <c r="A40" s="168"/>
      <c r="B40" s="28"/>
      <c r="C40" s="51" t="s">
        <v>96</v>
      </c>
      <c r="D40" s="52"/>
      <c r="E40" s="75"/>
      <c r="F40" s="52"/>
      <c r="G40" s="52"/>
      <c r="H40" s="30"/>
      <c r="I40" s="54" t="e">
        <f>ROUND(SUM(I38:I39),2)</f>
        <v>#REF!</v>
      </c>
      <c r="J40" s="7"/>
    </row>
    <row r="41" spans="1:10" ht="16.5" thickTop="1">
      <c r="A41" s="244">
        <v>3</v>
      </c>
      <c r="B41" s="72" t="s">
        <v>25</v>
      </c>
      <c r="C41" s="48" t="s">
        <v>98</v>
      </c>
      <c r="E41" s="73"/>
      <c r="H41" s="11"/>
      <c r="I41" s="50">
        <f t="shared" ref="I41:I52" si="8">ROUND(H41*E41,2)</f>
        <v>0</v>
      </c>
      <c r="J41" s="7"/>
    </row>
    <row r="42" spans="1:10">
      <c r="A42" s="244"/>
      <c r="C42" s="40" t="e">
        <f t="shared" ref="C42:C52" si="9">IF(ISNA(VLOOKUP(B42,CU_EQUIPO,2,FALSE)),0,VLOOKUP(B42,CU_EQUIPO,2,FALSE))</f>
        <v>#REF!</v>
      </c>
      <c r="D42" s="49" t="e">
        <f t="shared" ref="D42:D52" si="10">IF(ISNA(VLOOKUP(B42,CU_EQUIPO,3,FALSE)),0,VLOOKUP(B42,CU_EQUIPO,3,FALSE))</f>
        <v>#REF!</v>
      </c>
      <c r="E42" s="123"/>
      <c r="F42" s="49"/>
      <c r="G42" s="49"/>
      <c r="H42" s="11" t="e">
        <f t="shared" ref="H42:H52" si="11">IF(ISNA(VLOOKUP(B42,CU_EQUIPO,3,FALSE)),0,VLOOKUP(B42,CU_EQUIPO,4,FALSE))</f>
        <v>#REF!</v>
      </c>
      <c r="I42" s="50" t="e">
        <f t="shared" si="8"/>
        <v>#REF!</v>
      </c>
      <c r="J42" s="7"/>
    </row>
    <row r="43" spans="1:10">
      <c r="A43" s="245"/>
      <c r="C43" s="40" t="e">
        <f t="shared" si="9"/>
        <v>#REF!</v>
      </c>
      <c r="D43" s="49" t="e">
        <f t="shared" si="10"/>
        <v>#REF!</v>
      </c>
      <c r="E43" s="123"/>
      <c r="F43" s="49"/>
      <c r="G43" s="49"/>
      <c r="H43" s="19" t="e">
        <f t="shared" si="11"/>
        <v>#REF!</v>
      </c>
      <c r="I43" s="50" t="e">
        <f t="shared" si="8"/>
        <v>#REF!</v>
      </c>
      <c r="J43" s="7"/>
    </row>
    <row r="44" spans="1:10">
      <c r="A44" s="245"/>
      <c r="C44" s="40" t="e">
        <f t="shared" si="9"/>
        <v>#REF!</v>
      </c>
      <c r="D44" s="49" t="e">
        <f t="shared" si="10"/>
        <v>#REF!</v>
      </c>
      <c r="E44" s="123"/>
      <c r="F44" s="49"/>
      <c r="G44" s="49"/>
      <c r="H44" s="19" t="e">
        <f t="shared" si="11"/>
        <v>#REF!</v>
      </c>
      <c r="I44" s="50" t="e">
        <f t="shared" si="8"/>
        <v>#REF!</v>
      </c>
      <c r="J44" s="7"/>
    </row>
    <row r="45" spans="1:10">
      <c r="A45" s="245"/>
      <c r="C45" s="40" t="e">
        <f t="shared" si="9"/>
        <v>#REF!</v>
      </c>
      <c r="D45" s="49" t="e">
        <f t="shared" si="10"/>
        <v>#REF!</v>
      </c>
      <c r="E45" s="123"/>
      <c r="F45" s="49"/>
      <c r="G45" s="49"/>
      <c r="H45" s="11" t="e">
        <f t="shared" si="11"/>
        <v>#REF!</v>
      </c>
      <c r="I45" s="50" t="e">
        <f t="shared" si="8"/>
        <v>#REF!</v>
      </c>
      <c r="J45" s="7"/>
    </row>
    <row r="46" spans="1:10">
      <c r="A46" s="245"/>
      <c r="C46" s="40" t="e">
        <f t="shared" si="9"/>
        <v>#REF!</v>
      </c>
      <c r="D46" s="49" t="e">
        <f t="shared" si="10"/>
        <v>#REF!</v>
      </c>
      <c r="E46" s="73"/>
      <c r="F46" s="49"/>
      <c r="G46" s="49"/>
      <c r="H46" s="11" t="e">
        <f t="shared" si="11"/>
        <v>#REF!</v>
      </c>
      <c r="I46" s="50" t="e">
        <f t="shared" si="8"/>
        <v>#REF!</v>
      </c>
      <c r="J46" s="7"/>
    </row>
    <row r="47" spans="1:10">
      <c r="A47" s="245"/>
      <c r="C47" s="40" t="e">
        <f t="shared" si="9"/>
        <v>#REF!</v>
      </c>
      <c r="D47" s="49" t="e">
        <f t="shared" si="10"/>
        <v>#REF!</v>
      </c>
      <c r="E47" s="73"/>
      <c r="F47" s="49"/>
      <c r="G47" s="49"/>
      <c r="H47" s="11" t="e">
        <f t="shared" si="11"/>
        <v>#REF!</v>
      </c>
      <c r="I47" s="50" t="e">
        <f t="shared" si="8"/>
        <v>#REF!</v>
      </c>
      <c r="J47" s="7"/>
    </row>
    <row r="48" spans="1:10">
      <c r="A48" s="245"/>
      <c r="C48" s="40" t="e">
        <f t="shared" si="9"/>
        <v>#REF!</v>
      </c>
      <c r="D48" s="49" t="e">
        <f t="shared" si="10"/>
        <v>#REF!</v>
      </c>
      <c r="E48" s="73"/>
      <c r="F48" s="49"/>
      <c r="G48" s="49"/>
      <c r="H48" s="11" t="e">
        <f t="shared" si="11"/>
        <v>#REF!</v>
      </c>
      <c r="I48" s="50" t="e">
        <f t="shared" si="8"/>
        <v>#REF!</v>
      </c>
      <c r="J48" s="7"/>
    </row>
    <row r="49" spans="1:10">
      <c r="A49" s="245"/>
      <c r="C49" s="40" t="e">
        <f t="shared" si="9"/>
        <v>#REF!</v>
      </c>
      <c r="D49" s="49" t="e">
        <f t="shared" si="10"/>
        <v>#REF!</v>
      </c>
      <c r="E49" s="73"/>
      <c r="F49" s="49"/>
      <c r="G49" s="49"/>
      <c r="H49" s="11" t="e">
        <f t="shared" si="11"/>
        <v>#REF!</v>
      </c>
      <c r="I49" s="50" t="e">
        <f t="shared" si="8"/>
        <v>#REF!</v>
      </c>
      <c r="J49" s="7"/>
    </row>
    <row r="50" spans="1:10">
      <c r="A50" s="245"/>
      <c r="C50" s="40" t="e">
        <f t="shared" si="9"/>
        <v>#REF!</v>
      </c>
      <c r="D50" s="49" t="e">
        <f t="shared" si="10"/>
        <v>#REF!</v>
      </c>
      <c r="E50" s="73"/>
      <c r="F50" s="49"/>
      <c r="G50" s="49"/>
      <c r="H50" s="11" t="e">
        <f t="shared" si="11"/>
        <v>#REF!</v>
      </c>
      <c r="I50" s="50" t="e">
        <f t="shared" si="8"/>
        <v>#REF!</v>
      </c>
      <c r="J50" s="7"/>
    </row>
    <row r="51" spans="1:10">
      <c r="A51" s="245"/>
      <c r="C51" s="40" t="e">
        <f t="shared" si="9"/>
        <v>#REF!</v>
      </c>
      <c r="D51" s="49" t="e">
        <f t="shared" si="10"/>
        <v>#REF!</v>
      </c>
      <c r="E51" s="73"/>
      <c r="F51" s="49"/>
      <c r="G51" s="49"/>
      <c r="H51" s="11" t="e">
        <f t="shared" si="11"/>
        <v>#REF!</v>
      </c>
      <c r="I51" s="50" t="e">
        <f t="shared" si="8"/>
        <v>#REF!</v>
      </c>
      <c r="J51" s="7"/>
    </row>
    <row r="52" spans="1:10">
      <c r="A52" s="245"/>
      <c r="B52" s="26">
        <v>20000</v>
      </c>
      <c r="C52" s="55" t="e">
        <f t="shared" si="9"/>
        <v>#REF!</v>
      </c>
      <c r="D52" s="56" t="e">
        <f t="shared" si="10"/>
        <v>#REF!</v>
      </c>
      <c r="E52" s="74" t="e">
        <f>E39</f>
        <v>#REF!</v>
      </c>
      <c r="F52" s="56"/>
      <c r="G52" s="56"/>
      <c r="H52" s="76" t="e">
        <f t="shared" si="11"/>
        <v>#REF!</v>
      </c>
      <c r="I52" s="50" t="e">
        <f t="shared" si="8"/>
        <v>#REF!</v>
      </c>
      <c r="J52" s="7"/>
    </row>
    <row r="53" spans="1:10" ht="16.5" thickBot="1">
      <c r="A53" s="28"/>
      <c r="B53" s="28"/>
      <c r="C53" s="51" t="s">
        <v>102</v>
      </c>
      <c r="D53" s="65"/>
      <c r="E53" s="65"/>
      <c r="F53" s="65"/>
      <c r="G53" s="65"/>
      <c r="H53" s="53"/>
      <c r="I53" s="54" t="e">
        <f>ROUND(SUM(I42:I52),2)</f>
        <v>#REF!</v>
      </c>
      <c r="J53" s="7"/>
    </row>
    <row r="54" spans="1:10" ht="16.5" thickTop="1">
      <c r="C54" s="6"/>
      <c r="D54" s="4"/>
      <c r="E54" s="4"/>
      <c r="F54" s="4"/>
      <c r="G54" s="4"/>
      <c r="H54" s="11"/>
      <c r="I54" s="14"/>
      <c r="J54" s="7"/>
    </row>
    <row r="55" spans="1:10" ht="15" customHeight="1">
      <c r="C55" s="17" t="s">
        <v>55</v>
      </c>
      <c r="D55" s="4"/>
      <c r="E55" s="4"/>
      <c r="F55" s="4"/>
      <c r="G55" s="4"/>
      <c r="H55" s="11"/>
      <c r="I55" s="15" t="e">
        <f>I27+I40+I53</f>
        <v>#REF!</v>
      </c>
      <c r="J55" s="7"/>
    </row>
    <row r="56" spans="1:10" ht="24.75" customHeight="1" thickBot="1">
      <c r="A56" s="103"/>
      <c r="B56" s="103"/>
      <c r="C56" s="104"/>
      <c r="D56" s="103"/>
      <c r="E56" s="103"/>
      <c r="F56" s="103"/>
      <c r="G56" s="103"/>
      <c r="H56" s="105"/>
      <c r="I56" s="107"/>
      <c r="J56" s="7"/>
    </row>
    <row r="57" spans="1:10" ht="18" customHeight="1" thickTop="1">
      <c r="A57" s="244">
        <v>4</v>
      </c>
      <c r="C57" s="17" t="s">
        <v>50</v>
      </c>
      <c r="D57" s="4"/>
      <c r="E57" s="4"/>
      <c r="F57" s="4"/>
      <c r="G57" s="4"/>
      <c r="H57" s="11"/>
      <c r="I57" s="14"/>
      <c r="J57" s="7"/>
    </row>
    <row r="58" spans="1:10">
      <c r="C58" s="6"/>
      <c r="D58" s="4"/>
      <c r="E58" s="4"/>
      <c r="F58" s="4"/>
      <c r="G58" s="4"/>
      <c r="H58" s="147"/>
      <c r="I58" s="14"/>
      <c r="J58" s="7"/>
    </row>
    <row r="59" spans="1:10">
      <c r="C59" s="6" t="s">
        <v>99</v>
      </c>
      <c r="D59" s="4"/>
      <c r="E59" s="4"/>
      <c r="F59" s="4"/>
      <c r="G59" s="4"/>
      <c r="H59" s="147">
        <f>Presupuesto!E88</f>
        <v>0.13</v>
      </c>
      <c r="I59" s="14" t="e">
        <f>ROUND((Presupuesto!E88)*I55,2)</f>
        <v>#REF!</v>
      </c>
      <c r="J59" s="7"/>
    </row>
    <row r="60" spans="1:10" hidden="1">
      <c r="C60" s="6" t="s">
        <v>100</v>
      </c>
      <c r="D60" s="4"/>
      <c r="E60" s="4"/>
      <c r="F60" s="4"/>
      <c r="G60" s="4"/>
      <c r="H60" s="147">
        <f>Presupuesto!E89</f>
        <v>0</v>
      </c>
      <c r="I60" s="14" t="e">
        <f>ROUND((Presupuesto!E89)*I55,2)</f>
        <v>#REF!</v>
      </c>
      <c r="J60" s="7"/>
    </row>
    <row r="61" spans="1:10" ht="16.5" thickBot="1">
      <c r="A61" s="28"/>
      <c r="B61" s="28"/>
      <c r="C61" s="29" t="s">
        <v>53</v>
      </c>
      <c r="D61" s="28"/>
      <c r="E61" s="28"/>
      <c r="F61" s="28"/>
      <c r="G61" s="28"/>
      <c r="H61" s="148"/>
      <c r="I61" s="108" t="e">
        <f>SUM(I59:I60)</f>
        <v>#REF!</v>
      </c>
    </row>
    <row r="62" spans="1:10" ht="16.5" thickTop="1">
      <c r="A62" s="244">
        <v>5</v>
      </c>
      <c r="C62" s="17" t="s">
        <v>16</v>
      </c>
      <c r="D62" s="4"/>
      <c r="E62" s="4"/>
      <c r="F62" s="4"/>
      <c r="G62" s="4"/>
      <c r="H62" s="147"/>
      <c r="I62" s="14"/>
    </row>
    <row r="63" spans="1:10">
      <c r="C63" s="6"/>
      <c r="D63" s="4"/>
      <c r="E63" s="4"/>
      <c r="F63" s="4"/>
      <c r="G63" s="4"/>
      <c r="H63" s="147"/>
      <c r="I63" s="14"/>
    </row>
    <row r="64" spans="1:10">
      <c r="C64" s="6" t="s">
        <v>101</v>
      </c>
      <c r="D64" s="4"/>
      <c r="E64" s="4"/>
      <c r="F64" s="4"/>
      <c r="G64" s="4"/>
      <c r="H64" s="147">
        <f>Presupuesto!E90</f>
        <v>7.0000000000000007E-2</v>
      </c>
      <c r="I64" s="14" t="e">
        <f>ROUND((Presupuesto!E90)*(I55+I61),2)</f>
        <v>#REF!</v>
      </c>
    </row>
    <row r="65" spans="1:12" ht="16.5" thickBot="1">
      <c r="A65" s="28"/>
      <c r="B65" s="28"/>
      <c r="C65" s="29" t="s">
        <v>54</v>
      </c>
      <c r="D65" s="28"/>
      <c r="E65" s="28"/>
      <c r="F65" s="28"/>
      <c r="G65" s="28"/>
      <c r="H65" s="148"/>
      <c r="I65" s="108" t="e">
        <f>SUM(I64)</f>
        <v>#REF!</v>
      </c>
    </row>
    <row r="66" spans="1:12" ht="16.5" hidden="1" thickTop="1">
      <c r="C66" s="6"/>
      <c r="D66" s="4"/>
      <c r="E66" s="4"/>
      <c r="F66" s="4"/>
      <c r="G66" s="4"/>
      <c r="H66" s="11"/>
      <c r="I66" s="14"/>
    </row>
    <row r="67" spans="1:12" ht="16.5" hidden="1" thickTop="1">
      <c r="A67" s="8"/>
      <c r="B67" s="8"/>
      <c r="C67" s="109" t="s">
        <v>56</v>
      </c>
      <c r="D67" s="8"/>
      <c r="E67" s="8"/>
      <c r="F67" s="8"/>
      <c r="G67" s="8"/>
      <c r="H67" s="110"/>
      <c r="I67" s="112" t="e">
        <f>+I61+I65</f>
        <v>#REF!</v>
      </c>
    </row>
    <row r="68" spans="1:12" ht="17.25" hidden="1" thickTop="1" thickBot="1">
      <c r="A68" s="103"/>
      <c r="B68" s="103"/>
      <c r="C68" s="104"/>
      <c r="D68" s="103"/>
      <c r="E68" s="103"/>
      <c r="F68" s="103"/>
      <c r="G68" s="103"/>
      <c r="H68" s="105"/>
      <c r="I68" s="113"/>
    </row>
    <row r="69" spans="1:12" ht="16.5" thickTop="1">
      <c r="A69" s="8"/>
      <c r="B69" s="8"/>
      <c r="C69" s="32"/>
      <c r="D69" s="8"/>
      <c r="E69" s="8"/>
      <c r="F69" s="8"/>
      <c r="G69" s="8"/>
      <c r="H69" s="110"/>
      <c r="I69" s="114"/>
    </row>
    <row r="70" spans="1:12">
      <c r="C70" s="17" t="s">
        <v>57</v>
      </c>
      <c r="D70" s="4"/>
      <c r="E70" s="4"/>
      <c r="F70" s="4"/>
      <c r="G70" s="4"/>
      <c r="H70" s="11"/>
      <c r="I70" s="57" t="e">
        <f>TRUNC(I55+I67,2)</f>
        <v>#REF!</v>
      </c>
      <c r="J70" s="4">
        <v>3160.78</v>
      </c>
    </row>
    <row r="71" spans="1:12" ht="16.5" thickBot="1">
      <c r="A71" s="5"/>
      <c r="B71" s="5"/>
      <c r="C71" s="33"/>
      <c r="D71" s="5"/>
      <c r="E71" s="5"/>
      <c r="F71" s="5"/>
      <c r="G71" s="5"/>
      <c r="H71" s="20"/>
      <c r="I71" s="35"/>
      <c r="L71" s="156"/>
    </row>
  </sheetData>
  <mergeCells count="8">
    <mergeCell ref="A1:I2"/>
    <mergeCell ref="A3:I3"/>
    <mergeCell ref="C4:H4"/>
    <mergeCell ref="A10:A11"/>
    <mergeCell ref="C10:C11"/>
    <mergeCell ref="D10:D11"/>
    <mergeCell ref="E10:E11"/>
    <mergeCell ref="I10:I11"/>
  </mergeCells>
  <printOptions horizontalCentered="1" verticalCentered="1"/>
  <pageMargins left="0.91" right="0.75" top="0.8" bottom="1" header="0" footer="0"/>
  <pageSetup scale="63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"/>
  <dimension ref="B1:N124"/>
  <sheetViews>
    <sheetView showGridLines="0" view="pageBreakPreview" topLeftCell="A68" zoomScale="90" zoomScaleSheetLayoutView="90" workbookViewId="0">
      <selection activeCell="B91" sqref="B91"/>
    </sheetView>
  </sheetViews>
  <sheetFormatPr baseColWidth="10" defaultColWidth="11.42578125" defaultRowHeight="12.75"/>
  <cols>
    <col min="1" max="1" width="11.42578125" style="80"/>
    <col min="2" max="2" width="1.5703125" style="83" customWidth="1"/>
    <col min="3" max="3" width="5.7109375" style="92" customWidth="1"/>
    <col min="4" max="4" width="53.42578125" style="84" customWidth="1"/>
    <col min="5" max="5" width="14" style="84" customWidth="1"/>
    <col min="6" max="6" width="13.85546875" style="94" hidden="1" customWidth="1"/>
    <col min="7" max="7" width="14.85546875" style="96" hidden="1" customWidth="1"/>
    <col min="8" max="8" width="17.42578125" style="96" customWidth="1"/>
    <col min="9" max="9" width="1.5703125" style="80" customWidth="1"/>
    <col min="10" max="11" width="14.28515625" style="80" hidden="1" customWidth="1"/>
    <col min="12" max="12" width="11.42578125" style="80" hidden="1" customWidth="1"/>
    <col min="13" max="16384" width="11.42578125" style="80"/>
  </cols>
  <sheetData>
    <row r="1" spans="2:13" ht="12.75" customHeight="1" thickBot="1"/>
    <row r="2" spans="2:13" ht="21" hidden="1" customHeight="1" thickBot="1">
      <c r="C2" s="347"/>
      <c r="D2" s="347"/>
      <c r="E2" s="347"/>
      <c r="F2" s="347"/>
      <c r="G2" s="347"/>
      <c r="H2" s="347"/>
    </row>
    <row r="3" spans="2:13" ht="21" customHeight="1">
      <c r="C3" s="335" t="s">
        <v>194</v>
      </c>
      <c r="D3" s="336"/>
      <c r="E3" s="336"/>
      <c r="F3" s="336"/>
      <c r="G3" s="336"/>
      <c r="H3" s="337"/>
    </row>
    <row r="4" spans="2:13" ht="16.5" customHeight="1" thickBot="1">
      <c r="C4" s="338"/>
      <c r="D4" s="339"/>
      <c r="E4" s="339"/>
      <c r="F4" s="339"/>
      <c r="G4" s="339"/>
      <c r="H4" s="340"/>
    </row>
    <row r="5" spans="2:13" ht="30.75" customHeight="1">
      <c r="B5" s="99"/>
      <c r="C5" s="341" t="s">
        <v>2</v>
      </c>
      <c r="D5" s="341" t="s">
        <v>150</v>
      </c>
      <c r="E5" s="343" t="s">
        <v>151</v>
      </c>
      <c r="F5" s="345" t="s">
        <v>0</v>
      </c>
      <c r="G5" s="346"/>
      <c r="H5" s="333" t="s">
        <v>125</v>
      </c>
    </row>
    <row r="6" spans="2:13" ht="30.75" customHeight="1" thickBot="1">
      <c r="B6" s="99"/>
      <c r="C6" s="342"/>
      <c r="D6" s="342"/>
      <c r="E6" s="344"/>
      <c r="F6" s="265" t="s">
        <v>23</v>
      </c>
      <c r="G6" s="266" t="s">
        <v>6</v>
      </c>
      <c r="H6" s="334"/>
      <c r="M6" s="158"/>
    </row>
    <row r="7" spans="2:13" ht="35.25" customHeight="1" thickBot="1">
      <c r="B7" s="99"/>
      <c r="C7" s="330" t="s">
        <v>195</v>
      </c>
      <c r="D7" s="331"/>
      <c r="E7" s="331"/>
      <c r="F7" s="331"/>
      <c r="G7" s="331"/>
      <c r="H7" s="332"/>
      <c r="M7" s="158"/>
    </row>
    <row r="8" spans="2:13" ht="35.25" customHeight="1">
      <c r="B8" s="100"/>
      <c r="C8" s="212">
        <v>1</v>
      </c>
      <c r="D8" s="252" t="s">
        <v>196</v>
      </c>
      <c r="E8" s="210" t="s">
        <v>197</v>
      </c>
      <c r="F8" s="231" t="e">
        <f>'RESUMEN Costos directo'!D8</f>
        <v>#REF!</v>
      </c>
      <c r="G8" s="207" t="e">
        <f>#REF!*F8</f>
        <v>#REF!</v>
      </c>
      <c r="H8" s="268"/>
      <c r="M8" s="157"/>
    </row>
    <row r="9" spans="2:13" ht="35.25" customHeight="1">
      <c r="B9" s="100"/>
      <c r="C9" s="213">
        <v>2</v>
      </c>
      <c r="D9" s="227" t="s">
        <v>198</v>
      </c>
      <c r="E9" s="211" t="s">
        <v>197</v>
      </c>
      <c r="F9" s="232" t="e">
        <f>'RESUMEN Costos directo'!D11</f>
        <v>#REF!</v>
      </c>
      <c r="G9" s="209" t="e">
        <f>#REF!*F9</f>
        <v>#REF!</v>
      </c>
      <c r="H9" s="269"/>
      <c r="M9" s="157"/>
    </row>
    <row r="10" spans="2:13" ht="35.25" customHeight="1">
      <c r="B10" s="100"/>
      <c r="C10" s="213">
        <v>3</v>
      </c>
      <c r="D10" s="227" t="s">
        <v>199</v>
      </c>
      <c r="E10" s="211" t="s">
        <v>197</v>
      </c>
      <c r="F10" s="232" t="e">
        <f>'RESUMEN Costos directo'!D10</f>
        <v>#REF!</v>
      </c>
      <c r="G10" s="209" t="e">
        <f>#REF!*F10</f>
        <v>#REF!</v>
      </c>
      <c r="H10" s="269"/>
      <c r="M10" s="157"/>
    </row>
    <row r="11" spans="2:13" ht="35.25" customHeight="1">
      <c r="B11" s="100"/>
      <c r="C11" s="213">
        <v>4</v>
      </c>
      <c r="D11" s="227" t="s">
        <v>200</v>
      </c>
      <c r="E11" s="211" t="s">
        <v>197</v>
      </c>
      <c r="F11" s="232" t="e">
        <f>'RESUMEN Costos directo'!D13</f>
        <v>#REF!</v>
      </c>
      <c r="G11" s="209" t="e">
        <f>#REF!*F11</f>
        <v>#REF!</v>
      </c>
      <c r="H11" s="269"/>
      <c r="M11" s="157"/>
    </row>
    <row r="12" spans="2:13" ht="35.25" customHeight="1">
      <c r="B12" s="100"/>
      <c r="C12" s="213">
        <v>5</v>
      </c>
      <c r="D12" s="227" t="s">
        <v>201</v>
      </c>
      <c r="E12" s="211" t="s">
        <v>197</v>
      </c>
      <c r="F12" s="232" t="e">
        <f>'RESUMEN Costos directo'!D15</f>
        <v>#REF!</v>
      </c>
      <c r="G12" s="209" t="e">
        <f>#REF!*F12</f>
        <v>#REF!</v>
      </c>
      <c r="H12" s="269"/>
      <c r="M12" s="157"/>
    </row>
    <row r="13" spans="2:13" ht="35.25" customHeight="1">
      <c r="B13" s="100"/>
      <c r="C13" s="213">
        <v>6</v>
      </c>
      <c r="D13" s="227" t="s">
        <v>202</v>
      </c>
      <c r="E13" s="211" t="s">
        <v>197</v>
      </c>
      <c r="F13" s="232" t="e">
        <f>'RESUMEN Costos directo'!D12</f>
        <v>#REF!</v>
      </c>
      <c r="G13" s="209" t="e">
        <f>#REF!*F13</f>
        <v>#REF!</v>
      </c>
      <c r="H13" s="269"/>
      <c r="M13" s="157"/>
    </row>
    <row r="14" spans="2:13" ht="35.25" customHeight="1">
      <c r="B14" s="100"/>
      <c r="C14" s="213">
        <v>7</v>
      </c>
      <c r="D14" s="227" t="s">
        <v>203</v>
      </c>
      <c r="E14" s="211" t="s">
        <v>197</v>
      </c>
      <c r="F14" s="232"/>
      <c r="G14" s="209"/>
      <c r="H14" s="269"/>
      <c r="M14" s="157"/>
    </row>
    <row r="15" spans="2:13" ht="35.25" customHeight="1">
      <c r="B15" s="100"/>
      <c r="C15" s="213">
        <v>8</v>
      </c>
      <c r="D15" s="227" t="s">
        <v>204</v>
      </c>
      <c r="E15" s="211" t="s">
        <v>197</v>
      </c>
      <c r="F15" s="232"/>
      <c r="G15" s="209"/>
      <c r="H15" s="269"/>
      <c r="M15" s="157"/>
    </row>
    <row r="16" spans="2:13" ht="35.25" customHeight="1">
      <c r="B16" s="100"/>
      <c r="C16" s="213">
        <v>9</v>
      </c>
      <c r="D16" s="227" t="s">
        <v>205</v>
      </c>
      <c r="E16" s="211" t="s">
        <v>197</v>
      </c>
      <c r="F16" s="232"/>
      <c r="G16" s="209"/>
      <c r="H16" s="269"/>
      <c r="M16" s="157"/>
    </row>
    <row r="17" spans="2:14" ht="35.25" customHeight="1">
      <c r="B17" s="100"/>
      <c r="C17" s="213">
        <v>10</v>
      </c>
      <c r="D17" s="227" t="s">
        <v>206</v>
      </c>
      <c r="E17" s="211" t="s">
        <v>197</v>
      </c>
      <c r="F17" s="232"/>
      <c r="G17" s="209"/>
      <c r="H17" s="269"/>
      <c r="M17" s="157"/>
    </row>
    <row r="18" spans="2:14" ht="35.25" customHeight="1">
      <c r="B18" s="100"/>
      <c r="C18" s="213">
        <v>11</v>
      </c>
      <c r="D18" s="227" t="s">
        <v>207</v>
      </c>
      <c r="E18" s="211" t="s">
        <v>197</v>
      </c>
      <c r="F18" s="243"/>
      <c r="G18" s="228"/>
      <c r="H18" s="269"/>
      <c r="M18" s="157"/>
    </row>
    <row r="19" spans="2:14" ht="35.25" customHeight="1" thickBot="1">
      <c r="B19" s="100"/>
      <c r="C19" s="213">
        <v>12</v>
      </c>
      <c r="D19" s="227" t="s">
        <v>208</v>
      </c>
      <c r="E19" s="211" t="s">
        <v>197</v>
      </c>
      <c r="F19" s="243"/>
      <c r="G19" s="228"/>
      <c r="H19" s="269"/>
      <c r="M19" s="157"/>
    </row>
    <row r="20" spans="2:14" s="84" customFormat="1" ht="35.25" customHeight="1" thickBot="1">
      <c r="B20" s="100"/>
      <c r="C20" s="330" t="s">
        <v>209</v>
      </c>
      <c r="D20" s="331"/>
      <c r="E20" s="331"/>
      <c r="F20" s="331"/>
      <c r="G20" s="331"/>
      <c r="H20" s="332"/>
      <c r="I20" s="80"/>
      <c r="J20" s="80"/>
      <c r="K20" s="80" t="e">
        <f>#REF!/125</f>
        <v>#REF!</v>
      </c>
      <c r="M20" s="157"/>
      <c r="N20" s="80"/>
    </row>
    <row r="21" spans="2:14" s="84" customFormat="1" ht="35.25" customHeight="1">
      <c r="B21" s="100"/>
      <c r="C21" s="233">
        <v>15</v>
      </c>
      <c r="D21" s="250" t="s">
        <v>210</v>
      </c>
      <c r="E21" s="234" t="s">
        <v>211</v>
      </c>
      <c r="F21" s="235" t="e">
        <f>'RESUMEN Costos directo'!D18</f>
        <v>#REF!</v>
      </c>
      <c r="G21" s="236" t="e">
        <f>#REF!*F21</f>
        <v>#REF!</v>
      </c>
      <c r="H21" s="267">
        <v>435.16</v>
      </c>
      <c r="I21" s="80"/>
      <c r="J21" s="80"/>
      <c r="K21" s="80"/>
      <c r="M21" s="157"/>
      <c r="N21" s="80"/>
    </row>
    <row r="22" spans="2:14" s="84" customFormat="1" ht="35.25" customHeight="1">
      <c r="B22" s="100"/>
      <c r="C22" s="237">
        <v>16</v>
      </c>
      <c r="D22" s="263" t="s">
        <v>212</v>
      </c>
      <c r="E22" s="238" t="s">
        <v>188</v>
      </c>
      <c r="F22" s="239"/>
      <c r="G22" s="240"/>
      <c r="H22" s="267">
        <v>748.75</v>
      </c>
      <c r="I22" s="80"/>
      <c r="J22" s="80"/>
      <c r="K22" s="80"/>
      <c r="M22" s="157"/>
      <c r="N22" s="80"/>
    </row>
    <row r="23" spans="2:14" s="84" customFormat="1" ht="35.25" customHeight="1">
      <c r="B23" s="100"/>
      <c r="C23" s="246">
        <v>17</v>
      </c>
      <c r="D23" s="251" t="s">
        <v>213</v>
      </c>
      <c r="E23" s="247" t="s">
        <v>188</v>
      </c>
      <c r="F23" s="248"/>
      <c r="G23" s="249"/>
      <c r="H23" s="267">
        <v>4.37</v>
      </c>
      <c r="I23" s="80"/>
      <c r="J23" s="80"/>
      <c r="K23" s="80"/>
      <c r="M23" s="157"/>
      <c r="N23" s="80"/>
    </row>
    <row r="24" spans="2:14" s="84" customFormat="1" ht="35.25" customHeight="1">
      <c r="B24" s="100"/>
      <c r="C24" s="246">
        <v>18</v>
      </c>
      <c r="D24" s="251" t="s">
        <v>214</v>
      </c>
      <c r="E24" s="247" t="s">
        <v>188</v>
      </c>
      <c r="F24" s="248"/>
      <c r="G24" s="249"/>
      <c r="H24" s="267">
        <v>1.21</v>
      </c>
      <c r="I24" s="80"/>
      <c r="J24" s="80"/>
      <c r="K24" s="80"/>
      <c r="M24" s="157"/>
      <c r="N24" s="80"/>
    </row>
    <row r="25" spans="2:14" s="84" customFormat="1" ht="35.25" customHeight="1">
      <c r="B25" s="100"/>
      <c r="C25" s="246">
        <v>19</v>
      </c>
      <c r="D25" s="251" t="s">
        <v>215</v>
      </c>
      <c r="E25" s="247" t="s">
        <v>188</v>
      </c>
      <c r="F25" s="248"/>
      <c r="G25" s="249"/>
      <c r="H25" s="267">
        <v>0.98</v>
      </c>
      <c r="I25" s="80"/>
      <c r="J25" s="80"/>
      <c r="K25" s="80"/>
      <c r="M25" s="157"/>
      <c r="N25" s="80"/>
    </row>
    <row r="26" spans="2:14" s="84" customFormat="1" ht="35.25" customHeight="1">
      <c r="B26" s="100"/>
      <c r="C26" s="246">
        <v>20</v>
      </c>
      <c r="D26" s="251" t="s">
        <v>216</v>
      </c>
      <c r="E26" s="247" t="s">
        <v>188</v>
      </c>
      <c r="F26" s="248"/>
      <c r="G26" s="249"/>
      <c r="H26" s="267">
        <v>40</v>
      </c>
      <c r="I26" s="80"/>
      <c r="J26" s="80"/>
      <c r="K26" s="80"/>
      <c r="M26" s="157"/>
      <c r="N26" s="80"/>
    </row>
    <row r="27" spans="2:14" s="84" customFormat="1" ht="35.25" customHeight="1">
      <c r="B27" s="100"/>
      <c r="C27" s="246">
        <v>21</v>
      </c>
      <c r="D27" s="251" t="s">
        <v>217</v>
      </c>
      <c r="E27" s="247" t="s">
        <v>218</v>
      </c>
      <c r="F27" s="248"/>
      <c r="G27" s="249"/>
      <c r="H27" s="267">
        <v>1380</v>
      </c>
      <c r="I27" s="80"/>
      <c r="J27" s="80"/>
      <c r="K27" s="80"/>
      <c r="M27" s="157"/>
      <c r="N27" s="80"/>
    </row>
    <row r="28" spans="2:14" s="84" customFormat="1" ht="35.25" customHeight="1">
      <c r="B28" s="100"/>
      <c r="C28" s="246">
        <v>22</v>
      </c>
      <c r="D28" s="251" t="s">
        <v>219</v>
      </c>
      <c r="E28" s="247" t="s">
        <v>218</v>
      </c>
      <c r="F28" s="248"/>
      <c r="G28" s="249"/>
      <c r="H28" s="267">
        <v>74.75</v>
      </c>
      <c r="I28" s="80"/>
      <c r="J28" s="80"/>
      <c r="K28" s="80"/>
      <c r="M28" s="157"/>
      <c r="N28" s="80"/>
    </row>
    <row r="29" spans="2:14" s="84" customFormat="1" ht="35.25" customHeight="1">
      <c r="B29" s="100"/>
      <c r="C29" s="246">
        <v>23</v>
      </c>
      <c r="D29" s="251" t="s">
        <v>220</v>
      </c>
      <c r="E29" s="247" t="s">
        <v>218</v>
      </c>
      <c r="F29" s="248"/>
      <c r="G29" s="249"/>
      <c r="H29" s="267">
        <v>609.5</v>
      </c>
      <c r="I29" s="80"/>
      <c r="J29" s="80"/>
      <c r="K29" s="80"/>
      <c r="M29" s="157"/>
      <c r="N29" s="80"/>
    </row>
    <row r="30" spans="2:14" s="84" customFormat="1" ht="35.25" customHeight="1">
      <c r="B30" s="100"/>
      <c r="C30" s="246">
        <v>24</v>
      </c>
      <c r="D30" s="251" t="s">
        <v>221</v>
      </c>
      <c r="E30" s="247" t="s">
        <v>222</v>
      </c>
      <c r="F30" s="248"/>
      <c r="G30" s="249"/>
      <c r="H30" s="267">
        <v>249.55</v>
      </c>
      <c r="I30" s="80"/>
      <c r="J30" s="80"/>
      <c r="K30" s="80"/>
      <c r="M30" s="157"/>
      <c r="N30" s="80"/>
    </row>
    <row r="31" spans="2:14" s="84" customFormat="1" ht="35.25" customHeight="1">
      <c r="B31" s="100"/>
      <c r="C31" s="246">
        <v>25</v>
      </c>
      <c r="D31" s="251" t="s">
        <v>223</v>
      </c>
      <c r="E31" s="247" t="s">
        <v>222</v>
      </c>
      <c r="F31" s="248"/>
      <c r="G31" s="249"/>
      <c r="H31" s="267">
        <v>339.25</v>
      </c>
      <c r="I31" s="80"/>
      <c r="J31" s="80"/>
      <c r="K31" s="80"/>
      <c r="M31" s="157"/>
      <c r="N31" s="80"/>
    </row>
    <row r="32" spans="2:14" s="84" customFormat="1" ht="35.25" customHeight="1">
      <c r="B32" s="100"/>
      <c r="C32" s="246">
        <v>26</v>
      </c>
      <c r="D32" s="251" t="s">
        <v>224</v>
      </c>
      <c r="E32" s="247" t="s">
        <v>222</v>
      </c>
      <c r="F32" s="248"/>
      <c r="G32" s="249"/>
      <c r="H32" s="267">
        <v>163.30000000000001</v>
      </c>
      <c r="I32" s="80"/>
      <c r="J32" s="80"/>
      <c r="K32" s="80"/>
      <c r="M32" s="157"/>
      <c r="N32" s="80"/>
    </row>
    <row r="33" spans="2:14" s="84" customFormat="1" ht="35.25" customHeight="1">
      <c r="B33" s="100"/>
      <c r="C33" s="246">
        <v>27</v>
      </c>
      <c r="D33" s="251" t="s">
        <v>225</v>
      </c>
      <c r="E33" s="247" t="s">
        <v>187</v>
      </c>
      <c r="F33" s="248"/>
      <c r="G33" s="249"/>
      <c r="H33" s="267"/>
      <c r="I33" s="80"/>
      <c r="J33" s="80"/>
      <c r="K33" s="80"/>
      <c r="M33" s="157"/>
      <c r="N33" s="80"/>
    </row>
    <row r="34" spans="2:14" s="84" customFormat="1" ht="35.25" customHeight="1" thickBot="1">
      <c r="B34" s="100"/>
      <c r="C34" s="246">
        <v>28</v>
      </c>
      <c r="D34" s="251" t="s">
        <v>226</v>
      </c>
      <c r="E34" s="247" t="s">
        <v>188</v>
      </c>
      <c r="F34" s="248"/>
      <c r="G34" s="249"/>
      <c r="H34" s="267"/>
      <c r="I34" s="80"/>
      <c r="J34" s="80"/>
      <c r="K34" s="80"/>
      <c r="M34" s="157"/>
      <c r="N34" s="80"/>
    </row>
    <row r="35" spans="2:14" ht="35.25" customHeight="1" thickBot="1">
      <c r="B35" s="100"/>
      <c r="C35" s="330" t="s">
        <v>227</v>
      </c>
      <c r="D35" s="331"/>
      <c r="E35" s="331"/>
      <c r="F35" s="331"/>
      <c r="G35" s="331"/>
      <c r="H35" s="332"/>
      <c r="M35" s="157"/>
    </row>
    <row r="36" spans="2:14" ht="35.25" customHeight="1" thickBot="1">
      <c r="B36" s="100"/>
      <c r="C36" s="246">
        <v>1</v>
      </c>
      <c r="D36" s="251" t="s">
        <v>228</v>
      </c>
      <c r="E36" s="247" t="s">
        <v>127</v>
      </c>
      <c r="F36" s="225">
        <f>'RESUMEN Costos directo'!D23</f>
        <v>0</v>
      </c>
      <c r="G36" s="226" t="e">
        <f>#REF!*F36</f>
        <v>#REF!</v>
      </c>
      <c r="H36" s="269">
        <v>191.99</v>
      </c>
      <c r="M36" s="157"/>
    </row>
    <row r="37" spans="2:14" ht="35.25" customHeight="1" thickBot="1">
      <c r="B37" s="100"/>
      <c r="C37" s="246">
        <v>2</v>
      </c>
      <c r="D37" s="251" t="s">
        <v>229</v>
      </c>
      <c r="E37" s="247" t="s">
        <v>233</v>
      </c>
      <c r="F37" s="225"/>
      <c r="G37" s="226"/>
      <c r="H37" s="269">
        <v>525</v>
      </c>
      <c r="M37" s="157"/>
    </row>
    <row r="38" spans="2:14" ht="35.25" customHeight="1" thickBot="1">
      <c r="B38" s="100"/>
      <c r="C38" s="246">
        <v>3</v>
      </c>
      <c r="D38" s="251" t="s">
        <v>230</v>
      </c>
      <c r="E38" s="247" t="s">
        <v>7</v>
      </c>
      <c r="F38" s="225"/>
      <c r="G38" s="226"/>
      <c r="H38" s="269"/>
      <c r="M38" s="157"/>
    </row>
    <row r="39" spans="2:14" ht="35.25" customHeight="1" thickBot="1">
      <c r="B39" s="100"/>
      <c r="C39" s="246">
        <v>4</v>
      </c>
      <c r="D39" s="251" t="s">
        <v>231</v>
      </c>
      <c r="E39" s="247" t="s">
        <v>7</v>
      </c>
      <c r="F39" s="225"/>
      <c r="G39" s="226"/>
      <c r="H39" s="269"/>
      <c r="M39" s="157"/>
    </row>
    <row r="40" spans="2:14" ht="35.25" customHeight="1" thickBot="1">
      <c r="B40" s="100"/>
      <c r="C40" s="246">
        <v>5</v>
      </c>
      <c r="D40" s="251" t="s">
        <v>234</v>
      </c>
      <c r="E40" s="247" t="s">
        <v>7</v>
      </c>
      <c r="F40" s="225"/>
      <c r="G40" s="226"/>
      <c r="H40" s="269"/>
      <c r="M40" s="157"/>
      <c r="N40" s="158" t="s">
        <v>232</v>
      </c>
    </row>
    <row r="41" spans="2:14" ht="35.25" customHeight="1" thickBot="1">
      <c r="B41" s="100"/>
      <c r="C41" s="246">
        <v>6</v>
      </c>
      <c r="D41" s="251" t="s">
        <v>235</v>
      </c>
      <c r="E41" s="247" t="s">
        <v>7</v>
      </c>
      <c r="F41" s="225"/>
      <c r="G41" s="226"/>
      <c r="H41" s="269"/>
      <c r="M41" s="157"/>
    </row>
    <row r="42" spans="2:14" ht="35.25" customHeight="1" thickBot="1">
      <c r="B42" s="100"/>
      <c r="C42" s="246">
        <v>7</v>
      </c>
      <c r="D42" s="251" t="s">
        <v>236</v>
      </c>
      <c r="E42" s="247" t="s">
        <v>7</v>
      </c>
      <c r="F42" s="225"/>
      <c r="G42" s="226"/>
      <c r="H42" s="269"/>
      <c r="M42" s="157"/>
    </row>
    <row r="43" spans="2:14" ht="35.25" customHeight="1" thickBot="1">
      <c r="B43" s="100"/>
      <c r="C43" s="246">
        <v>8</v>
      </c>
      <c r="D43" s="251" t="s">
        <v>237</v>
      </c>
      <c r="E43" s="247" t="s">
        <v>7</v>
      </c>
      <c r="F43" s="225"/>
      <c r="G43" s="226"/>
      <c r="H43" s="269"/>
      <c r="M43" s="157"/>
    </row>
    <row r="44" spans="2:14" ht="35.25" customHeight="1" thickBot="1">
      <c r="B44" s="100"/>
      <c r="C44" s="246">
        <v>9</v>
      </c>
      <c r="D44" s="251" t="s">
        <v>238</v>
      </c>
      <c r="E44" s="247" t="s">
        <v>7</v>
      </c>
      <c r="F44" s="225"/>
      <c r="G44" s="226"/>
      <c r="H44" s="269"/>
      <c r="M44" s="157"/>
    </row>
    <row r="45" spans="2:14" ht="35.25" customHeight="1" thickBot="1">
      <c r="B45" s="100"/>
      <c r="C45" s="246">
        <v>10</v>
      </c>
      <c r="D45" s="251" t="s">
        <v>239</v>
      </c>
      <c r="E45" s="247" t="s">
        <v>251</v>
      </c>
      <c r="F45" s="225"/>
      <c r="G45" s="226"/>
      <c r="H45" s="269">
        <v>11.5</v>
      </c>
      <c r="M45" s="157"/>
    </row>
    <row r="46" spans="2:14" ht="35.25" customHeight="1" thickBot="1">
      <c r="B46" s="100"/>
      <c r="C46" s="246">
        <v>11</v>
      </c>
      <c r="D46" s="251" t="s">
        <v>240</v>
      </c>
      <c r="E46" s="247" t="s">
        <v>218</v>
      </c>
      <c r="F46" s="225"/>
      <c r="G46" s="226"/>
      <c r="H46" s="269">
        <v>91.77</v>
      </c>
      <c r="M46" s="157"/>
    </row>
    <row r="47" spans="2:14" ht="35.25" customHeight="1" thickBot="1">
      <c r="B47" s="100"/>
      <c r="C47" s="246">
        <v>12</v>
      </c>
      <c r="D47" s="251" t="s">
        <v>241</v>
      </c>
      <c r="E47" s="247" t="s">
        <v>218</v>
      </c>
      <c r="F47" s="225"/>
      <c r="G47" s="226"/>
      <c r="H47" s="269">
        <v>29.33</v>
      </c>
      <c r="M47" s="157"/>
    </row>
    <row r="48" spans="2:14" ht="35.25" customHeight="1" thickBot="1">
      <c r="B48" s="100"/>
      <c r="C48" s="246">
        <v>13</v>
      </c>
      <c r="D48" s="251" t="s">
        <v>242</v>
      </c>
      <c r="E48" s="247" t="s">
        <v>188</v>
      </c>
      <c r="F48" s="225"/>
      <c r="G48" s="226"/>
      <c r="H48" s="269">
        <v>2357.5</v>
      </c>
      <c r="M48" s="157"/>
    </row>
    <row r="49" spans="2:13" ht="35.25" customHeight="1" thickBot="1">
      <c r="B49" s="100"/>
      <c r="C49" s="246">
        <v>14</v>
      </c>
      <c r="D49" s="251" t="s">
        <v>243</v>
      </c>
      <c r="E49" s="247" t="s">
        <v>251</v>
      </c>
      <c r="F49" s="225"/>
      <c r="G49" s="226"/>
      <c r="H49" s="269">
        <v>13.23</v>
      </c>
      <c r="M49" s="157"/>
    </row>
    <row r="50" spans="2:13" ht="35.25" customHeight="1" thickBot="1">
      <c r="B50" s="100"/>
      <c r="C50" s="246">
        <v>15</v>
      </c>
      <c r="D50" s="251" t="s">
        <v>244</v>
      </c>
      <c r="E50" s="247" t="s">
        <v>103</v>
      </c>
      <c r="F50" s="225"/>
      <c r="G50" s="226"/>
      <c r="H50" s="269">
        <v>15</v>
      </c>
      <c r="M50" s="157"/>
    </row>
    <row r="51" spans="2:13" ht="35.25" customHeight="1" thickBot="1">
      <c r="B51" s="100"/>
      <c r="C51" s="246">
        <v>16</v>
      </c>
      <c r="D51" s="251" t="s">
        <v>245</v>
      </c>
      <c r="E51" s="247" t="s">
        <v>218</v>
      </c>
      <c r="F51" s="225"/>
      <c r="G51" s="226"/>
      <c r="H51" s="269">
        <v>270.25</v>
      </c>
      <c r="M51" s="157"/>
    </row>
    <row r="52" spans="2:13" ht="35.25" customHeight="1" thickBot="1">
      <c r="B52" s="100"/>
      <c r="C52" s="246">
        <v>17</v>
      </c>
      <c r="D52" s="251" t="s">
        <v>246</v>
      </c>
      <c r="E52" s="247" t="s">
        <v>218</v>
      </c>
      <c r="F52" s="225"/>
      <c r="G52" s="226"/>
      <c r="H52" s="269">
        <v>437</v>
      </c>
      <c r="M52" s="157"/>
    </row>
    <row r="53" spans="2:13" ht="35.25" customHeight="1" thickBot="1">
      <c r="B53" s="100"/>
      <c r="C53" s="246">
        <v>18</v>
      </c>
      <c r="D53" s="251" t="s">
        <v>247</v>
      </c>
      <c r="E53" s="247" t="s">
        <v>187</v>
      </c>
      <c r="F53" s="225"/>
      <c r="G53" s="226"/>
      <c r="H53" s="269">
        <v>1225.06</v>
      </c>
      <c r="M53" s="157"/>
    </row>
    <row r="54" spans="2:13" ht="35.25" customHeight="1" thickBot="1">
      <c r="B54" s="100"/>
      <c r="C54" s="246">
        <v>19</v>
      </c>
      <c r="D54" s="251" t="s">
        <v>248</v>
      </c>
      <c r="E54" s="247" t="s">
        <v>187</v>
      </c>
      <c r="F54" s="225"/>
      <c r="G54" s="226"/>
      <c r="H54" s="269">
        <v>2313.25</v>
      </c>
      <c r="M54" s="157"/>
    </row>
    <row r="55" spans="2:13" ht="35.25" customHeight="1" thickBot="1">
      <c r="B55" s="100"/>
      <c r="C55" s="246">
        <v>20</v>
      </c>
      <c r="D55" s="251" t="s">
        <v>249</v>
      </c>
      <c r="E55" s="247" t="s">
        <v>187</v>
      </c>
      <c r="F55" s="225"/>
      <c r="G55" s="226"/>
      <c r="H55" s="269">
        <v>1663.07</v>
      </c>
      <c r="M55" s="157"/>
    </row>
    <row r="56" spans="2:13" ht="35.25" customHeight="1" thickBot="1">
      <c r="B56" s="100"/>
      <c r="C56" s="246">
        <v>21</v>
      </c>
      <c r="D56" s="251" t="s">
        <v>250</v>
      </c>
      <c r="E56" s="247" t="s">
        <v>252</v>
      </c>
      <c r="F56" s="225"/>
      <c r="G56" s="226"/>
      <c r="H56" s="269"/>
      <c r="M56" s="157"/>
    </row>
    <row r="57" spans="2:13" ht="35.25" customHeight="1" thickBot="1">
      <c r="B57" s="100"/>
      <c r="C57" s="246">
        <v>22</v>
      </c>
      <c r="D57" s="251" t="s">
        <v>253</v>
      </c>
      <c r="E57" s="247" t="s">
        <v>257</v>
      </c>
      <c r="F57" s="225"/>
      <c r="G57" s="226"/>
      <c r="H57" s="269">
        <v>27</v>
      </c>
      <c r="M57" s="157"/>
    </row>
    <row r="58" spans="2:13" ht="35.25" customHeight="1" thickBot="1">
      <c r="B58" s="100"/>
      <c r="C58" s="246">
        <v>23</v>
      </c>
      <c r="D58" s="251" t="s">
        <v>254</v>
      </c>
      <c r="E58" s="247" t="s">
        <v>257</v>
      </c>
      <c r="F58" s="225"/>
      <c r="G58" s="226"/>
      <c r="H58" s="269">
        <v>24.5</v>
      </c>
      <c r="M58" s="157"/>
    </row>
    <row r="59" spans="2:13" ht="35.25" customHeight="1" thickBot="1">
      <c r="B59" s="100"/>
      <c r="C59" s="246">
        <v>24</v>
      </c>
      <c r="D59" s="251" t="s">
        <v>255</v>
      </c>
      <c r="E59" s="247" t="s">
        <v>188</v>
      </c>
      <c r="F59" s="225"/>
      <c r="G59" s="226"/>
      <c r="H59" s="269">
        <v>1622.65</v>
      </c>
      <c r="M59" s="157"/>
    </row>
    <row r="60" spans="2:13" ht="35.25" customHeight="1" thickBot="1">
      <c r="B60" s="100"/>
      <c r="C60" s="246">
        <v>25</v>
      </c>
      <c r="D60" s="251" t="s">
        <v>256</v>
      </c>
      <c r="E60" s="247" t="s">
        <v>127</v>
      </c>
      <c r="F60" s="225"/>
      <c r="G60" s="226"/>
      <c r="H60" s="269"/>
      <c r="M60" s="157"/>
    </row>
    <row r="61" spans="2:13" ht="35.25" customHeight="1" thickBot="1">
      <c r="B61" s="100"/>
      <c r="C61" s="246">
        <v>26</v>
      </c>
      <c r="D61" s="251" t="s">
        <v>190</v>
      </c>
      <c r="E61" s="247" t="s">
        <v>127</v>
      </c>
      <c r="F61" s="225">
        <f>'RESUMEN Costos directo'!D24</f>
        <v>0</v>
      </c>
      <c r="G61" s="226" t="e">
        <f>#REF!*F61</f>
        <v>#REF!</v>
      </c>
      <c r="H61" s="269"/>
      <c r="M61" s="157"/>
    </row>
    <row r="62" spans="2:13" ht="35.25" customHeight="1" thickBot="1">
      <c r="B62" s="100"/>
      <c r="C62" s="246">
        <v>27</v>
      </c>
      <c r="D62" s="251" t="s">
        <v>191</v>
      </c>
      <c r="E62" s="247" t="s">
        <v>127</v>
      </c>
      <c r="F62" s="225">
        <f>'RESUMEN Costos directo'!D25</f>
        <v>0</v>
      </c>
      <c r="G62" s="226" t="e">
        <f>#REF!*F62</f>
        <v>#REF!</v>
      </c>
      <c r="H62" s="269"/>
      <c r="M62" s="157"/>
    </row>
    <row r="63" spans="2:13" ht="35.25" customHeight="1" thickBot="1">
      <c r="B63" s="100"/>
      <c r="C63" s="246">
        <v>28</v>
      </c>
      <c r="D63" s="251" t="s">
        <v>192</v>
      </c>
      <c r="E63" s="247" t="s">
        <v>127</v>
      </c>
      <c r="F63" s="255">
        <f>'RESUMEN Costos directo'!D26</f>
        <v>0</v>
      </c>
      <c r="G63" s="256" t="e">
        <f>#REF!*F63</f>
        <v>#REF!</v>
      </c>
      <c r="H63" s="270"/>
      <c r="M63" s="157"/>
    </row>
    <row r="64" spans="2:13" ht="10.5" customHeight="1" thickBot="1">
      <c r="B64" s="100"/>
      <c r="C64" s="257"/>
      <c r="D64" s="258"/>
      <c r="E64" s="259"/>
      <c r="F64" s="253"/>
      <c r="G64" s="254"/>
      <c r="H64" s="260"/>
      <c r="M64" s="157"/>
    </row>
    <row r="65" spans="2:13" ht="35.25" customHeight="1">
      <c r="B65" s="100"/>
      <c r="C65" s="335" t="s">
        <v>194</v>
      </c>
      <c r="D65" s="336"/>
      <c r="E65" s="336"/>
      <c r="F65" s="336"/>
      <c r="G65" s="336"/>
      <c r="H65" s="337"/>
      <c r="M65" s="157"/>
    </row>
    <row r="66" spans="2:13" ht="35.25" customHeight="1" thickBot="1">
      <c r="B66" s="100"/>
      <c r="C66" s="338"/>
      <c r="D66" s="339"/>
      <c r="E66" s="339"/>
      <c r="F66" s="339"/>
      <c r="G66" s="339"/>
      <c r="H66" s="340"/>
      <c r="M66" s="157"/>
    </row>
    <row r="67" spans="2:13" ht="35.25" customHeight="1">
      <c r="B67" s="100"/>
      <c r="C67" s="341" t="s">
        <v>2</v>
      </c>
      <c r="D67" s="341" t="s">
        <v>150</v>
      </c>
      <c r="E67" s="343" t="s">
        <v>151</v>
      </c>
      <c r="F67" s="345" t="s">
        <v>0</v>
      </c>
      <c r="G67" s="346"/>
      <c r="H67" s="333" t="s">
        <v>125</v>
      </c>
      <c r="M67" s="157"/>
    </row>
    <row r="68" spans="2:13" ht="35.25" customHeight="1" thickBot="1">
      <c r="B68" s="100"/>
      <c r="C68" s="342"/>
      <c r="D68" s="342"/>
      <c r="E68" s="344"/>
      <c r="F68" s="265" t="s">
        <v>23</v>
      </c>
      <c r="G68" s="266" t="s">
        <v>6</v>
      </c>
      <c r="H68" s="334"/>
      <c r="M68" s="157"/>
    </row>
    <row r="69" spans="2:13" ht="35.25" customHeight="1" thickBot="1">
      <c r="B69" s="100"/>
      <c r="C69" s="330" t="s">
        <v>263</v>
      </c>
      <c r="D69" s="331"/>
      <c r="E69" s="331"/>
      <c r="F69" s="331"/>
      <c r="G69" s="331"/>
      <c r="H69" s="332"/>
      <c r="M69" s="157"/>
    </row>
    <row r="70" spans="2:13" ht="35.25" customHeight="1">
      <c r="B70" s="100"/>
      <c r="C70" s="246">
        <v>1</v>
      </c>
      <c r="D70" s="251" t="s">
        <v>258</v>
      </c>
      <c r="E70" s="247" t="s">
        <v>262</v>
      </c>
      <c r="F70" s="229"/>
      <c r="G70" s="230"/>
      <c r="H70" s="271"/>
      <c r="M70" s="157"/>
    </row>
    <row r="71" spans="2:13" ht="35.25" customHeight="1">
      <c r="B71" s="100"/>
      <c r="C71" s="246">
        <v>2</v>
      </c>
      <c r="D71" s="251" t="s">
        <v>259</v>
      </c>
      <c r="E71" s="247" t="s">
        <v>262</v>
      </c>
      <c r="F71" s="229"/>
      <c r="G71" s="230"/>
      <c r="H71" s="271"/>
      <c r="M71" s="157"/>
    </row>
    <row r="72" spans="2:13" ht="35.25" customHeight="1">
      <c r="B72" s="100"/>
      <c r="C72" s="246">
        <v>3</v>
      </c>
      <c r="D72" s="251" t="s">
        <v>260</v>
      </c>
      <c r="E72" s="247" t="s">
        <v>262</v>
      </c>
      <c r="F72" s="229"/>
      <c r="G72" s="230"/>
      <c r="H72" s="271"/>
      <c r="M72" s="157"/>
    </row>
    <row r="73" spans="2:13" ht="35.25" customHeight="1" thickBot="1">
      <c r="B73" s="100"/>
      <c r="C73" s="246">
        <v>4</v>
      </c>
      <c r="D73" s="251" t="s">
        <v>261</v>
      </c>
      <c r="E73" s="247" t="s">
        <v>262</v>
      </c>
      <c r="F73" s="229"/>
      <c r="G73" s="230"/>
      <c r="H73" s="271"/>
      <c r="M73" s="157"/>
    </row>
    <row r="74" spans="2:13" ht="35.25" customHeight="1" thickBot="1">
      <c r="B74" s="100"/>
      <c r="C74" s="330" t="s">
        <v>264</v>
      </c>
      <c r="D74" s="331"/>
      <c r="E74" s="331"/>
      <c r="F74" s="331"/>
      <c r="G74" s="331"/>
      <c r="H74" s="332"/>
      <c r="M74" s="157"/>
    </row>
    <row r="75" spans="2:13" ht="35.25" customHeight="1">
      <c r="B75" s="100"/>
      <c r="C75" s="246">
        <v>1</v>
      </c>
      <c r="D75" s="251" t="s">
        <v>265</v>
      </c>
      <c r="E75" s="247" t="s">
        <v>262</v>
      </c>
      <c r="F75" s="229"/>
      <c r="G75" s="230"/>
      <c r="H75" s="271"/>
      <c r="M75" s="157"/>
    </row>
    <row r="76" spans="2:13" ht="35.25" customHeight="1" thickBot="1">
      <c r="B76" s="100"/>
      <c r="C76" s="246">
        <v>2</v>
      </c>
      <c r="D76" s="251" t="s">
        <v>266</v>
      </c>
      <c r="E76" s="247" t="s">
        <v>262</v>
      </c>
      <c r="F76" s="229"/>
      <c r="G76" s="230"/>
      <c r="H76" s="271"/>
      <c r="M76" s="157"/>
    </row>
    <row r="77" spans="2:13" ht="35.25" customHeight="1" thickBot="1">
      <c r="B77" s="100"/>
      <c r="C77" s="273">
        <v>3</v>
      </c>
      <c r="D77" s="274" t="s">
        <v>267</v>
      </c>
      <c r="E77" s="275" t="s">
        <v>262</v>
      </c>
      <c r="F77" s="261">
        <f>'RESUMEN Costos directo'!D29</f>
        <v>0</v>
      </c>
      <c r="G77" s="262" t="e">
        <f>#REF!*F77</f>
        <v>#REF!</v>
      </c>
      <c r="H77" s="272"/>
      <c r="M77" s="157"/>
    </row>
    <row r="78" spans="2:13" ht="15">
      <c r="B78" s="100"/>
      <c r="C78" s="177"/>
      <c r="D78" s="178"/>
      <c r="E78" s="179"/>
      <c r="F78" s="180"/>
      <c r="G78" s="181"/>
      <c r="H78" s="184"/>
      <c r="M78" s="157"/>
    </row>
    <row r="79" spans="2:13" ht="15">
      <c r="B79" s="100"/>
      <c r="C79" s="177"/>
      <c r="D79" s="178"/>
      <c r="E79" s="179"/>
      <c r="F79" s="180"/>
      <c r="G79" s="181"/>
      <c r="H79" s="182"/>
      <c r="M79" s="157"/>
    </row>
    <row r="80" spans="2:13" ht="15">
      <c r="B80" s="100"/>
      <c r="C80" s="177"/>
      <c r="D80" s="183"/>
      <c r="E80" s="179"/>
      <c r="F80" s="180"/>
      <c r="G80" s="181"/>
      <c r="H80" s="184"/>
      <c r="M80" s="157"/>
    </row>
    <row r="81" spans="2:12" ht="15">
      <c r="B81" s="100"/>
      <c r="C81" s="177"/>
      <c r="D81" s="178"/>
      <c r="E81" s="179"/>
      <c r="F81" s="180"/>
      <c r="G81" s="181"/>
      <c r="H81" s="184"/>
    </row>
    <row r="82" spans="2:12" ht="15">
      <c r="C82" s="85"/>
      <c r="D82" s="87"/>
      <c r="E82" s="88"/>
      <c r="F82" s="180"/>
      <c r="G82" s="181"/>
      <c r="H82" s="89"/>
      <c r="K82" s="80" t="s">
        <v>70</v>
      </c>
      <c r="L82" s="80">
        <v>5000</v>
      </c>
    </row>
    <row r="83" spans="2:12" ht="15">
      <c r="C83" s="85"/>
      <c r="D83" s="186"/>
      <c r="E83" s="88"/>
      <c r="F83" s="180"/>
      <c r="G83" s="181"/>
      <c r="H83" s="89"/>
      <c r="K83" s="80" t="s">
        <v>74</v>
      </c>
      <c r="L83" s="80">
        <f>5000*3</f>
        <v>15000</v>
      </c>
    </row>
    <row r="84" spans="2:12">
      <c r="C84" s="88"/>
      <c r="D84" s="86"/>
      <c r="E84" s="88"/>
      <c r="F84" s="90"/>
      <c r="G84" s="90"/>
      <c r="H84" s="89"/>
      <c r="K84" s="80" t="s">
        <v>68</v>
      </c>
      <c r="L84" s="80">
        <f>20000</f>
        <v>20000</v>
      </c>
    </row>
    <row r="85" spans="2:12">
      <c r="D85" s="102"/>
      <c r="E85" s="122"/>
      <c r="F85" s="93"/>
      <c r="G85" s="97"/>
      <c r="H85" s="94"/>
      <c r="K85" s="80" t="s">
        <v>167</v>
      </c>
      <c r="L85" s="80">
        <f>20000</f>
        <v>20000</v>
      </c>
    </row>
    <row r="86" spans="2:12">
      <c r="D86" s="102"/>
      <c r="E86" s="122"/>
      <c r="F86" s="93"/>
      <c r="G86" s="97"/>
      <c r="H86" s="94"/>
      <c r="K86" s="80" t="s">
        <v>67</v>
      </c>
      <c r="L86" s="80">
        <f>20000</f>
        <v>20000</v>
      </c>
    </row>
    <row r="87" spans="2:12">
      <c r="D87" s="102"/>
      <c r="E87" s="122"/>
      <c r="F87" s="93"/>
      <c r="G87" s="97"/>
      <c r="H87" s="94"/>
      <c r="L87" s="80">
        <f>SUM(L82:L86)</f>
        <v>80000</v>
      </c>
    </row>
    <row r="88" spans="2:12">
      <c r="D88" s="102"/>
      <c r="E88" s="122"/>
      <c r="F88" s="93"/>
      <c r="G88" s="97"/>
      <c r="H88" s="94"/>
    </row>
    <row r="89" spans="2:12">
      <c r="D89" s="102"/>
      <c r="E89" s="122"/>
      <c r="F89" s="93"/>
      <c r="G89" s="97"/>
      <c r="H89" s="94"/>
    </row>
    <row r="90" spans="2:12">
      <c r="D90" s="102"/>
      <c r="E90" s="122"/>
      <c r="F90" s="93"/>
      <c r="G90" s="94"/>
      <c r="H90" s="94"/>
    </row>
    <row r="91" spans="2:12">
      <c r="D91" s="102"/>
      <c r="E91" s="122"/>
      <c r="F91" s="93"/>
      <c r="G91" s="94"/>
      <c r="H91" s="94"/>
    </row>
    <row r="92" spans="2:12">
      <c r="D92" s="102"/>
      <c r="E92" s="122"/>
      <c r="F92" s="93"/>
      <c r="G92" s="97"/>
      <c r="H92" s="94"/>
    </row>
    <row r="93" spans="2:12">
      <c r="D93" s="102"/>
      <c r="E93" s="122"/>
      <c r="F93" s="93"/>
      <c r="G93" s="97"/>
      <c r="H93" s="94"/>
      <c r="I93" s="93"/>
    </row>
    <row r="94" spans="2:12">
      <c r="D94" s="154"/>
      <c r="E94" s="122"/>
      <c r="F94" s="93"/>
      <c r="G94" s="97"/>
      <c r="H94" s="141"/>
    </row>
    <row r="95" spans="2:12">
      <c r="D95" s="154"/>
      <c r="E95" s="122"/>
      <c r="F95" s="93"/>
      <c r="G95" s="97"/>
      <c r="H95" s="94"/>
      <c r="J95" s="80" t="e">
        <f>#REF!*1.3</f>
        <v>#REF!</v>
      </c>
    </row>
    <row r="96" spans="2:12">
      <c r="D96" s="154"/>
      <c r="E96" s="122"/>
      <c r="F96" s="93"/>
      <c r="G96" s="97"/>
      <c r="H96" s="94"/>
    </row>
    <row r="97" spans="4:8">
      <c r="D97" s="102"/>
      <c r="E97" s="122"/>
      <c r="F97" s="93"/>
      <c r="G97" s="97"/>
      <c r="H97" s="94"/>
    </row>
    <row r="98" spans="4:8">
      <c r="D98" s="102"/>
      <c r="E98" s="122"/>
      <c r="F98" s="93"/>
      <c r="G98" s="97"/>
      <c r="H98" s="94"/>
    </row>
    <row r="99" spans="4:8">
      <c r="D99" s="102"/>
      <c r="E99" s="122"/>
      <c r="F99" s="93"/>
      <c r="G99" s="97"/>
      <c r="H99" s="94"/>
    </row>
    <row r="100" spans="4:8">
      <c r="D100" s="102"/>
      <c r="E100" s="122"/>
      <c r="F100" s="93"/>
      <c r="G100" s="97"/>
      <c r="H100" s="94"/>
    </row>
    <row r="101" spans="4:8">
      <c r="D101" s="102"/>
      <c r="E101" s="122"/>
      <c r="F101" s="93"/>
      <c r="G101" s="97"/>
      <c r="H101" s="94"/>
    </row>
    <row r="102" spans="4:8">
      <c r="D102" s="102"/>
      <c r="E102" s="93"/>
      <c r="F102" s="93"/>
      <c r="G102" s="97"/>
      <c r="H102" s="94"/>
    </row>
    <row r="103" spans="4:8">
      <c r="D103" s="102"/>
      <c r="E103" s="122"/>
      <c r="F103" s="93"/>
      <c r="G103" s="97"/>
      <c r="H103" s="94"/>
    </row>
    <row r="104" spans="4:8">
      <c r="D104" s="102"/>
      <c r="E104" s="122"/>
      <c r="F104" s="93"/>
      <c r="G104" s="97"/>
      <c r="H104" s="120"/>
    </row>
    <row r="105" spans="4:8">
      <c r="D105" s="102"/>
      <c r="E105" s="122"/>
      <c r="F105" s="93"/>
      <c r="G105" s="97"/>
      <c r="H105" s="94"/>
    </row>
    <row r="106" spans="4:8">
      <c r="D106" s="102"/>
      <c r="E106" s="122"/>
      <c r="F106" s="93"/>
      <c r="G106" s="97"/>
      <c r="H106" s="94"/>
    </row>
    <row r="107" spans="4:8">
      <c r="D107" s="102"/>
      <c r="E107" s="122"/>
      <c r="F107" s="93"/>
      <c r="G107" s="97"/>
      <c r="H107" s="120"/>
    </row>
    <row r="108" spans="4:8">
      <c r="D108" s="102"/>
      <c r="E108" s="122"/>
      <c r="F108" s="93"/>
      <c r="G108" s="94"/>
      <c r="H108" s="94"/>
    </row>
    <row r="109" spans="4:8">
      <c r="D109" s="101"/>
      <c r="E109" s="93"/>
      <c r="F109" s="93"/>
      <c r="G109" s="94"/>
      <c r="H109" s="94"/>
    </row>
    <row r="110" spans="4:8">
      <c r="D110" s="101"/>
      <c r="E110" s="93"/>
      <c r="F110" s="93"/>
      <c r="G110" s="94"/>
      <c r="H110" s="94"/>
    </row>
    <row r="111" spans="4:8">
      <c r="D111" s="101"/>
      <c r="E111" s="93"/>
      <c r="F111" s="93"/>
      <c r="G111" s="94"/>
      <c r="H111" s="141"/>
    </row>
    <row r="112" spans="4:8">
      <c r="D112" s="119"/>
      <c r="E112" s="93"/>
      <c r="F112" s="93"/>
      <c r="G112" s="94"/>
      <c r="H112" s="141"/>
    </row>
    <row r="113" spans="2:8">
      <c r="D113" s="119"/>
      <c r="E113" s="93"/>
      <c r="F113" s="93"/>
      <c r="G113" s="94"/>
      <c r="H113" s="141"/>
    </row>
    <row r="114" spans="2:8">
      <c r="D114" s="119"/>
      <c r="E114" s="93"/>
      <c r="F114" s="93"/>
      <c r="G114" s="94"/>
      <c r="H114" s="141"/>
    </row>
    <row r="115" spans="2:8">
      <c r="D115" s="92"/>
      <c r="E115" s="93"/>
      <c r="F115" s="93"/>
      <c r="G115" s="94"/>
      <c r="H115" s="94"/>
    </row>
    <row r="116" spans="2:8">
      <c r="D116" s="92"/>
      <c r="E116" s="93"/>
      <c r="F116" s="93"/>
      <c r="G116" s="94"/>
      <c r="H116" s="94"/>
    </row>
    <row r="117" spans="2:8">
      <c r="D117" s="102"/>
      <c r="E117" s="93"/>
      <c r="F117" s="93"/>
      <c r="G117" s="94"/>
      <c r="H117" s="94"/>
    </row>
    <row r="118" spans="2:8">
      <c r="D118" s="102"/>
      <c r="E118" s="93"/>
      <c r="F118" s="93"/>
      <c r="G118" s="94"/>
      <c r="H118" s="94"/>
    </row>
    <row r="119" spans="2:8" s="118" customFormat="1">
      <c r="B119" s="116"/>
      <c r="C119" s="92"/>
      <c r="D119" s="102"/>
      <c r="E119" s="93"/>
      <c r="F119" s="93"/>
      <c r="G119" s="94"/>
      <c r="H119" s="94"/>
    </row>
    <row r="120" spans="2:8">
      <c r="C120" s="117"/>
      <c r="D120" s="102"/>
      <c r="E120" s="93"/>
      <c r="F120" s="93"/>
      <c r="G120" s="97"/>
      <c r="H120" s="97"/>
    </row>
    <row r="121" spans="2:8">
      <c r="D121" s="102"/>
      <c r="E121" s="93"/>
      <c r="F121" s="93"/>
      <c r="G121" s="94"/>
      <c r="H121" s="94"/>
    </row>
    <row r="122" spans="2:8">
      <c r="D122" s="92"/>
      <c r="E122" s="92"/>
      <c r="F122" s="95"/>
      <c r="G122" s="94"/>
      <c r="H122" s="94"/>
    </row>
    <row r="123" spans="2:8">
      <c r="D123" s="92"/>
      <c r="E123" s="92"/>
      <c r="F123" s="93"/>
      <c r="G123" s="94"/>
      <c r="H123" s="94"/>
    </row>
    <row r="124" spans="2:8">
      <c r="D124" s="92"/>
      <c r="E124" s="92"/>
      <c r="F124" s="93"/>
      <c r="G124" s="94"/>
      <c r="H124" s="94"/>
    </row>
  </sheetData>
  <mergeCells count="18">
    <mergeCell ref="C7:H7"/>
    <mergeCell ref="C20:H20"/>
    <mergeCell ref="C35:H35"/>
    <mergeCell ref="C2:H2"/>
    <mergeCell ref="C3:H4"/>
    <mergeCell ref="C5:C6"/>
    <mergeCell ref="D5:D6"/>
    <mergeCell ref="E5:E6"/>
    <mergeCell ref="F5:G5"/>
    <mergeCell ref="H5:H6"/>
    <mergeCell ref="C69:H69"/>
    <mergeCell ref="C74:H74"/>
    <mergeCell ref="H67:H68"/>
    <mergeCell ref="C65:H66"/>
    <mergeCell ref="C67:C68"/>
    <mergeCell ref="D67:D68"/>
    <mergeCell ref="E67:E68"/>
    <mergeCell ref="F67:G67"/>
  </mergeCells>
  <conditionalFormatting sqref="M8:M80">
    <cfRule type="dataBar" priority="38">
      <dataBar>
        <cfvo type="min" val="0"/>
        <cfvo type="max" val="0"/>
        <color rgb="FFFF555A"/>
      </dataBar>
    </cfRule>
  </conditionalFormatting>
  <printOptions horizontalCentered="1"/>
  <pageMargins left="0.55118110236220474" right="0.62992125984251968" top="1.0629921259842521" bottom="0.35433070866141736" header="0" footer="0"/>
  <pageSetup scale="97" orientation="portrait" horizontalDpi="4294967293" verticalDpi="300" r:id="rId1"/>
  <headerFooter alignWithMargins="0"/>
  <rowBreaks count="4" manualBreakCount="4">
    <brk id="21" min="1" max="11" man="1"/>
    <brk id="39" min="1" max="11" man="1"/>
    <brk id="56" min="1" max="11" man="1"/>
    <brk id="64" min="1" max="11" man="1"/>
  </rowBreaks>
  <colBreaks count="1" manualBreakCount="1">
    <brk id="9" max="7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65">
    <pageSetUpPr fitToPage="1"/>
  </sheetPr>
  <dimension ref="A1:I65"/>
  <sheetViews>
    <sheetView showGridLines="0" showZeros="0" view="pageBreakPreview" zoomScale="60" zoomScaleNormal="75" workbookViewId="0">
      <pane ySplit="9" topLeftCell="A10" activePane="bottomLeft" state="frozen"/>
      <selection activeCell="G65" sqref="G65"/>
      <selection pane="bottomLeft" activeCell="Q48" sqref="Q48"/>
    </sheetView>
  </sheetViews>
  <sheetFormatPr baseColWidth="10" defaultColWidth="9.140625" defaultRowHeight="15.75"/>
  <cols>
    <col min="1" max="1" width="9" style="4" customWidth="1"/>
    <col min="2" max="2" width="10.42578125" style="4" customWidth="1"/>
    <col min="3" max="3" width="44" style="40" customWidth="1"/>
    <col min="4" max="5" width="15.7109375" style="39" customWidth="1"/>
    <col min="6" max="6" width="15.7109375" style="39" hidden="1" customWidth="1"/>
    <col min="7" max="7" width="20.85546875" style="39" hidden="1" customWidth="1"/>
    <col min="8" max="8" width="15.85546875" style="46" customWidth="1"/>
    <col min="9" max="9" width="15.7109375" style="39" customWidth="1"/>
    <col min="10" max="16384" width="9.140625" style="4"/>
  </cols>
  <sheetData>
    <row r="1" spans="1:9">
      <c r="A1" s="329" t="s">
        <v>90</v>
      </c>
      <c r="B1" s="329"/>
      <c r="C1" s="329"/>
      <c r="D1" s="329"/>
      <c r="E1" s="329"/>
      <c r="F1" s="329"/>
      <c r="G1" s="329"/>
      <c r="H1" s="329"/>
      <c r="I1" s="329"/>
    </row>
    <row r="2" spans="1:9" ht="13.5" customHeight="1">
      <c r="A2" s="329"/>
      <c r="B2" s="329"/>
      <c r="C2" s="329"/>
      <c r="D2" s="329"/>
      <c r="E2" s="329"/>
      <c r="F2" s="329"/>
      <c r="G2" s="329"/>
      <c r="H2" s="329"/>
      <c r="I2" s="329"/>
    </row>
    <row r="3" spans="1:9" ht="13.5" customHeight="1">
      <c r="A3" s="24"/>
      <c r="B3" s="22"/>
      <c r="C3" s="38"/>
      <c r="D3" s="38"/>
      <c r="E3" s="38"/>
      <c r="F3" s="38"/>
      <c r="G3" s="38"/>
      <c r="H3" s="38"/>
      <c r="I3" s="38"/>
    </row>
    <row r="4" spans="1:9" ht="13.5" customHeight="1">
      <c r="A4" s="24"/>
      <c r="B4" s="22" t="e">
        <f>#REF!</f>
        <v>#REF!</v>
      </c>
      <c r="C4" s="324" t="e">
        <f>IF(ISNA(VLOOKUP(B4,PROYECTOS!$A$8:$B$55,2,FALSE)),0,VLOOKUP(B4,PROYECTOS!$A$8:$B$55,2,FALSE))</f>
        <v>#REF!</v>
      </c>
      <c r="D4" s="324"/>
      <c r="E4" s="324"/>
      <c r="F4" s="324"/>
      <c r="G4" s="324"/>
      <c r="H4" s="324"/>
      <c r="I4" s="38"/>
    </row>
    <row r="5" spans="1:9" ht="13.5" customHeight="1">
      <c r="A5" s="24"/>
      <c r="B5" s="22"/>
      <c r="C5" s="22">
        <f>IF(ISNA(VLOOKUP(B5,PRESUPUESTOS,2,FALSE)),0,VLOOKUP(B5,PRESUPUESTOS,2,FALSE))</f>
        <v>0</v>
      </c>
      <c r="D5" s="38"/>
      <c r="E5" s="38"/>
      <c r="F5" s="38"/>
      <c r="G5" s="38"/>
      <c r="H5" s="38"/>
      <c r="I5" s="38"/>
    </row>
    <row r="6" spans="1:9" ht="13.5" customHeight="1">
      <c r="A6" s="32" t="s">
        <v>43</v>
      </c>
      <c r="C6" s="4" t="s">
        <v>34</v>
      </c>
      <c r="H6" s="46" t="s">
        <v>44</v>
      </c>
      <c r="I6" s="81" t="s">
        <v>86</v>
      </c>
    </row>
    <row r="7" spans="1:9" ht="16.5" thickBot="1">
      <c r="A7" s="20"/>
      <c r="B7" s="5"/>
      <c r="C7" s="41"/>
      <c r="D7" s="42"/>
      <c r="E7" s="42"/>
      <c r="F7" s="42"/>
      <c r="G7" s="42"/>
      <c r="H7" s="20"/>
      <c r="I7" s="43"/>
    </row>
    <row r="8" spans="1:9">
      <c r="D8" s="44"/>
      <c r="F8" s="139" t="s">
        <v>36</v>
      </c>
      <c r="G8" s="139" t="s">
        <v>26</v>
      </c>
      <c r="H8" s="45" t="s">
        <v>26</v>
      </c>
      <c r="I8" s="46"/>
    </row>
    <row r="9" spans="1:9">
      <c r="A9" s="9" t="s">
        <v>2</v>
      </c>
      <c r="B9" s="9"/>
      <c r="C9" s="9" t="s">
        <v>3</v>
      </c>
      <c r="D9" s="47" t="s">
        <v>4</v>
      </c>
      <c r="E9" s="47" t="s">
        <v>5</v>
      </c>
      <c r="F9" s="9" t="s">
        <v>76</v>
      </c>
      <c r="G9" s="9" t="s">
        <v>77</v>
      </c>
      <c r="H9" s="47" t="s">
        <v>23</v>
      </c>
      <c r="I9" s="47" t="s">
        <v>19</v>
      </c>
    </row>
    <row r="10" spans="1:9">
      <c r="A10" s="16">
        <v>1</v>
      </c>
      <c r="B10" s="72" t="s">
        <v>25</v>
      </c>
      <c r="C10" s="48" t="s">
        <v>9</v>
      </c>
      <c r="E10" s="68"/>
      <c r="H10" s="49"/>
    </row>
    <row r="11" spans="1:9">
      <c r="A11" s="16"/>
      <c r="B11" s="4">
        <v>2201</v>
      </c>
      <c r="C11" s="40" t="e">
        <f t="shared" ref="C11:C20" si="0">IF(ISNA(VLOOKUP(B11,CU_MATERIALES,2,FALSE)),0,VLOOKUP(B11,CU_MATERIALES,2,FALSE))</f>
        <v>#REF!</v>
      </c>
      <c r="D11" s="49" t="e">
        <f t="shared" ref="D11:D20" si="1">IF(ISNA(VLOOKUP(B11,CU_MATERIALES,3,FALSE)),0,VLOOKUP(B11,CU_MATERIALES,3,FALSE))</f>
        <v>#REF!</v>
      </c>
      <c r="E11" s="98">
        <v>0</v>
      </c>
      <c r="F11" s="49"/>
      <c r="G11" s="49"/>
      <c r="H11" s="11" t="e">
        <f t="shared" ref="H11:H20" si="2">IF(ISNA(VLOOKUP(B11,CU_MATERIALES,3,FALSE)),0,VLOOKUP(B11,CU_MATERIALES,4,FALSE))</f>
        <v>#REF!</v>
      </c>
      <c r="I11" s="50" t="e">
        <f t="shared" ref="I11:I20" si="3">ROUND(H11*E11,2)</f>
        <v>#REF!</v>
      </c>
    </row>
    <row r="12" spans="1:9">
      <c r="A12" s="16"/>
      <c r="B12" s="4">
        <v>500</v>
      </c>
      <c r="C12" s="40" t="e">
        <f t="shared" si="0"/>
        <v>#REF!</v>
      </c>
      <c r="D12" s="49" t="e">
        <f t="shared" si="1"/>
        <v>#REF!</v>
      </c>
      <c r="E12" s="98">
        <v>0</v>
      </c>
      <c r="F12" s="49"/>
      <c r="G12" s="49"/>
      <c r="H12" s="11" t="e">
        <f t="shared" si="2"/>
        <v>#REF!</v>
      </c>
      <c r="I12" s="50" t="e">
        <f t="shared" si="3"/>
        <v>#REF!</v>
      </c>
    </row>
    <row r="13" spans="1:9">
      <c r="A13" s="16"/>
      <c r="B13" s="4">
        <v>200</v>
      </c>
      <c r="C13" s="40" t="e">
        <f t="shared" si="0"/>
        <v>#REF!</v>
      </c>
      <c r="D13" s="49" t="e">
        <f t="shared" si="1"/>
        <v>#REF!</v>
      </c>
      <c r="E13" s="98">
        <v>0</v>
      </c>
      <c r="F13" s="49"/>
      <c r="G13" s="49"/>
      <c r="H13" s="11" t="e">
        <f t="shared" si="2"/>
        <v>#REF!</v>
      </c>
      <c r="I13" s="50" t="e">
        <f t="shared" si="3"/>
        <v>#REF!</v>
      </c>
    </row>
    <row r="14" spans="1:9">
      <c r="A14" s="16"/>
      <c r="B14" s="70"/>
      <c r="C14" s="40" t="e">
        <f t="shared" si="0"/>
        <v>#REF!</v>
      </c>
      <c r="D14" s="49" t="e">
        <f t="shared" si="1"/>
        <v>#REF!</v>
      </c>
      <c r="E14" s="98">
        <v>0</v>
      </c>
      <c r="F14" s="49"/>
      <c r="G14" s="49"/>
      <c r="H14" s="11" t="e">
        <f t="shared" si="2"/>
        <v>#REF!</v>
      </c>
      <c r="I14" s="50" t="e">
        <f t="shared" si="3"/>
        <v>#REF!</v>
      </c>
    </row>
    <row r="15" spans="1:9">
      <c r="A15" s="16"/>
      <c r="B15" s="70"/>
      <c r="C15" s="40" t="e">
        <f t="shared" si="0"/>
        <v>#REF!</v>
      </c>
      <c r="D15" s="49" t="e">
        <f t="shared" si="1"/>
        <v>#REF!</v>
      </c>
      <c r="E15" s="98"/>
      <c r="F15" s="49"/>
      <c r="G15" s="49"/>
      <c r="H15" s="11" t="e">
        <f t="shared" si="2"/>
        <v>#REF!</v>
      </c>
      <c r="I15" s="50" t="e">
        <f t="shared" si="3"/>
        <v>#REF!</v>
      </c>
    </row>
    <row r="16" spans="1:9">
      <c r="A16" s="16"/>
      <c r="B16" s="70"/>
      <c r="C16" s="40" t="e">
        <f t="shared" si="0"/>
        <v>#REF!</v>
      </c>
      <c r="D16" s="49" t="e">
        <f t="shared" si="1"/>
        <v>#REF!</v>
      </c>
      <c r="E16" s="98"/>
      <c r="F16" s="49"/>
      <c r="G16" s="49"/>
      <c r="H16" s="11" t="e">
        <f t="shared" si="2"/>
        <v>#REF!</v>
      </c>
      <c r="I16" s="50" t="e">
        <f t="shared" si="3"/>
        <v>#REF!</v>
      </c>
    </row>
    <row r="17" spans="1:9">
      <c r="A17" s="16"/>
      <c r="B17" s="70"/>
      <c r="C17" s="40" t="e">
        <f t="shared" si="0"/>
        <v>#REF!</v>
      </c>
      <c r="D17" s="49" t="e">
        <f t="shared" si="1"/>
        <v>#REF!</v>
      </c>
      <c r="E17" s="98"/>
      <c r="F17" s="49"/>
      <c r="G17" s="49"/>
      <c r="H17" s="11" t="e">
        <f t="shared" si="2"/>
        <v>#REF!</v>
      </c>
      <c r="I17" s="50" t="e">
        <f t="shared" si="3"/>
        <v>#REF!</v>
      </c>
    </row>
    <row r="18" spans="1:9">
      <c r="A18" s="16"/>
      <c r="B18" s="70"/>
      <c r="C18" s="40" t="e">
        <f t="shared" si="0"/>
        <v>#REF!</v>
      </c>
      <c r="D18" s="49" t="e">
        <f t="shared" si="1"/>
        <v>#REF!</v>
      </c>
      <c r="E18" s="98"/>
      <c r="F18" s="49"/>
      <c r="G18" s="49"/>
      <c r="H18" s="11" t="e">
        <f t="shared" si="2"/>
        <v>#REF!</v>
      </c>
      <c r="I18" s="50" t="e">
        <f t="shared" si="3"/>
        <v>#REF!</v>
      </c>
    </row>
    <row r="19" spans="1:9">
      <c r="A19" s="16"/>
      <c r="B19" s="70"/>
      <c r="C19" s="40" t="e">
        <f t="shared" si="0"/>
        <v>#REF!</v>
      </c>
      <c r="D19" s="49" t="e">
        <f t="shared" si="1"/>
        <v>#REF!</v>
      </c>
      <c r="E19" s="98"/>
      <c r="F19" s="49"/>
      <c r="G19" s="49"/>
      <c r="H19" s="11" t="e">
        <f t="shared" si="2"/>
        <v>#REF!</v>
      </c>
      <c r="I19" s="50" t="e">
        <f t="shared" si="3"/>
        <v>#REF!</v>
      </c>
    </row>
    <row r="20" spans="1:9">
      <c r="A20" s="16"/>
      <c r="B20" s="70"/>
      <c r="C20" s="40" t="e">
        <f t="shared" si="0"/>
        <v>#REF!</v>
      </c>
      <c r="D20" s="49" t="e">
        <f t="shared" si="1"/>
        <v>#REF!</v>
      </c>
      <c r="E20" s="98"/>
      <c r="F20" s="49"/>
      <c r="G20" s="49"/>
      <c r="H20" s="11" t="e">
        <f t="shared" si="2"/>
        <v>#REF!</v>
      </c>
      <c r="I20" s="50" t="e">
        <f t="shared" si="3"/>
        <v>#REF!</v>
      </c>
    </row>
    <row r="21" spans="1:9" ht="16.5" thickBot="1">
      <c r="A21" s="138"/>
      <c r="B21" s="28"/>
      <c r="C21" s="51" t="s">
        <v>28</v>
      </c>
      <c r="D21" s="52"/>
      <c r="E21" s="142"/>
      <c r="F21" s="52"/>
      <c r="G21" s="52"/>
      <c r="H21" s="30"/>
      <c r="I21" s="54" t="e">
        <f>ROUND(SUM(I11:I20),2)</f>
        <v>#REF!</v>
      </c>
    </row>
    <row r="22" spans="1:9" ht="16.5" thickTop="1">
      <c r="A22" s="16">
        <v>2</v>
      </c>
      <c r="B22" s="72" t="s">
        <v>25</v>
      </c>
      <c r="C22" s="48" t="s">
        <v>29</v>
      </c>
      <c r="E22" s="98"/>
      <c r="H22" s="11"/>
      <c r="I22" s="50"/>
    </row>
    <row r="23" spans="1:9">
      <c r="A23" s="16"/>
      <c r="B23" s="4">
        <v>2600</v>
      </c>
      <c r="C23" s="40" t="e">
        <f t="shared" ref="C23:C33" si="4">IF(ISNA(VLOOKUP(B23,CU_MANO_DE_OBRA,2,FALSE)),0,VLOOKUP(B23,CU_MANO_DE_OBRA,2,FALSE))</f>
        <v>#REF!</v>
      </c>
      <c r="D23" s="49" t="e">
        <f t="shared" ref="D23:D33" si="5">IF(ISNA(VLOOKUP(B23,CU_MANO_DE_OBRA,3,FALSE)),0,VLOOKUP(B23,CU_MANO_DE_OBRA,3,FALSE))</f>
        <v>#REF!</v>
      </c>
      <c r="E23" s="98">
        <v>0</v>
      </c>
      <c r="F23" s="49"/>
      <c r="G23" s="49"/>
      <c r="H23" s="11" t="e">
        <f t="shared" ref="H23:H33" si="6">IF(ISNA(VLOOKUP(B23,CU_MANO_DE_OBRA,3,FALSE)),0,VLOOKUP(B23,CU_MANO_DE_OBRA,4,FALSE))</f>
        <v>#REF!</v>
      </c>
      <c r="I23" s="50" t="e">
        <f t="shared" ref="I23:I33" si="7">ROUND(H23*E23,2)</f>
        <v>#REF!</v>
      </c>
    </row>
    <row r="24" spans="1:9">
      <c r="A24" s="16"/>
      <c r="C24" s="40" t="e">
        <f t="shared" si="4"/>
        <v>#REF!</v>
      </c>
      <c r="D24" s="49" t="e">
        <f t="shared" si="5"/>
        <v>#REF!</v>
      </c>
      <c r="E24" s="98">
        <v>0</v>
      </c>
      <c r="F24" s="49"/>
      <c r="G24" s="49"/>
      <c r="H24" s="37" t="e">
        <f t="shared" si="6"/>
        <v>#REF!</v>
      </c>
      <c r="I24" s="50" t="e">
        <f t="shared" si="7"/>
        <v>#REF!</v>
      </c>
    </row>
    <row r="25" spans="1:9">
      <c r="A25" s="16"/>
      <c r="C25" s="40" t="e">
        <f t="shared" si="4"/>
        <v>#REF!</v>
      </c>
      <c r="D25" s="49" t="e">
        <f t="shared" si="5"/>
        <v>#REF!</v>
      </c>
      <c r="E25" s="98"/>
      <c r="F25" s="49"/>
      <c r="G25" s="49"/>
      <c r="H25" s="37" t="e">
        <f t="shared" si="6"/>
        <v>#REF!</v>
      </c>
      <c r="I25" s="50" t="e">
        <f t="shared" si="7"/>
        <v>#REF!</v>
      </c>
    </row>
    <row r="26" spans="1:9">
      <c r="A26" s="16"/>
      <c r="C26" s="40" t="e">
        <f t="shared" si="4"/>
        <v>#REF!</v>
      </c>
      <c r="D26" s="49" t="e">
        <f t="shared" si="5"/>
        <v>#REF!</v>
      </c>
      <c r="E26" s="98"/>
      <c r="F26" s="49"/>
      <c r="G26" s="49"/>
      <c r="H26" s="37" t="e">
        <f t="shared" si="6"/>
        <v>#REF!</v>
      </c>
      <c r="I26" s="50" t="e">
        <f t="shared" si="7"/>
        <v>#REF!</v>
      </c>
    </row>
    <row r="27" spans="1:9">
      <c r="A27" s="16"/>
      <c r="C27" s="40" t="e">
        <f t="shared" si="4"/>
        <v>#REF!</v>
      </c>
      <c r="D27" s="49" t="e">
        <f t="shared" si="5"/>
        <v>#REF!</v>
      </c>
      <c r="E27" s="98"/>
      <c r="F27" s="49"/>
      <c r="G27" s="49"/>
      <c r="H27" s="37" t="e">
        <f t="shared" si="6"/>
        <v>#REF!</v>
      </c>
      <c r="I27" s="50" t="e">
        <f t="shared" si="7"/>
        <v>#REF!</v>
      </c>
    </row>
    <row r="28" spans="1:9">
      <c r="A28" s="16"/>
      <c r="C28" s="40" t="e">
        <f t="shared" si="4"/>
        <v>#REF!</v>
      </c>
      <c r="D28" s="49" t="e">
        <f t="shared" si="5"/>
        <v>#REF!</v>
      </c>
      <c r="E28" s="98"/>
      <c r="F28" s="49"/>
      <c r="G28" s="49"/>
      <c r="H28" s="37" t="e">
        <f t="shared" si="6"/>
        <v>#REF!</v>
      </c>
      <c r="I28" s="50" t="e">
        <f t="shared" si="7"/>
        <v>#REF!</v>
      </c>
    </row>
    <row r="29" spans="1:9">
      <c r="A29" s="16"/>
      <c r="C29" s="40" t="e">
        <f t="shared" si="4"/>
        <v>#REF!</v>
      </c>
      <c r="D29" s="49" t="e">
        <f t="shared" si="5"/>
        <v>#REF!</v>
      </c>
      <c r="E29" s="98"/>
      <c r="F29" s="49"/>
      <c r="G29" s="49"/>
      <c r="H29" s="37" t="e">
        <f t="shared" si="6"/>
        <v>#REF!</v>
      </c>
      <c r="I29" s="50" t="e">
        <f t="shared" si="7"/>
        <v>#REF!</v>
      </c>
    </row>
    <row r="30" spans="1:9">
      <c r="A30" s="16"/>
      <c r="C30" s="40" t="e">
        <f t="shared" si="4"/>
        <v>#REF!</v>
      </c>
      <c r="D30" s="49" t="e">
        <f t="shared" si="5"/>
        <v>#REF!</v>
      </c>
      <c r="E30" s="98"/>
      <c r="F30" s="49"/>
      <c r="G30" s="49"/>
      <c r="H30" s="37" t="e">
        <f t="shared" si="6"/>
        <v>#REF!</v>
      </c>
      <c r="I30" s="50" t="e">
        <f t="shared" si="7"/>
        <v>#REF!</v>
      </c>
    </row>
    <row r="31" spans="1:9">
      <c r="A31" s="16"/>
      <c r="C31" s="40" t="e">
        <f t="shared" si="4"/>
        <v>#REF!</v>
      </c>
      <c r="D31" s="49" t="e">
        <f t="shared" si="5"/>
        <v>#REF!</v>
      </c>
      <c r="E31" s="98"/>
      <c r="F31" s="49"/>
      <c r="G31" s="49"/>
      <c r="H31" s="37" t="e">
        <f t="shared" si="6"/>
        <v>#REF!</v>
      </c>
      <c r="I31" s="50" t="e">
        <f t="shared" si="7"/>
        <v>#REF!</v>
      </c>
    </row>
    <row r="32" spans="1:9">
      <c r="A32" s="16"/>
      <c r="C32" s="40" t="e">
        <f t="shared" si="4"/>
        <v>#REF!</v>
      </c>
      <c r="D32" s="49" t="e">
        <f t="shared" si="5"/>
        <v>#REF!</v>
      </c>
      <c r="E32" s="98"/>
      <c r="F32" s="49"/>
      <c r="G32" s="49"/>
      <c r="H32" s="37" t="e">
        <f t="shared" si="6"/>
        <v>#REF!</v>
      </c>
      <c r="I32" s="50" t="e">
        <f t="shared" si="7"/>
        <v>#REF!</v>
      </c>
    </row>
    <row r="33" spans="1:9">
      <c r="A33" s="16"/>
      <c r="B33" s="26">
        <v>300</v>
      </c>
      <c r="C33" s="55" t="e">
        <f t="shared" si="4"/>
        <v>#REF!</v>
      </c>
      <c r="D33" s="56" t="e">
        <f t="shared" si="5"/>
        <v>#REF!</v>
      </c>
      <c r="E33" s="143" t="e">
        <f>SUM(I23:I32)</f>
        <v>#REF!</v>
      </c>
      <c r="F33" s="56"/>
      <c r="G33" s="56"/>
      <c r="H33" s="76" t="e">
        <f t="shared" si="6"/>
        <v>#REF!</v>
      </c>
      <c r="I33" s="50" t="e">
        <f t="shared" si="7"/>
        <v>#REF!</v>
      </c>
    </row>
    <row r="34" spans="1:9" ht="16.5" thickBot="1">
      <c r="A34" s="138"/>
      <c r="B34" s="28"/>
      <c r="C34" s="51" t="s">
        <v>30</v>
      </c>
      <c r="D34" s="52"/>
      <c r="E34" s="142"/>
      <c r="F34" s="52"/>
      <c r="G34" s="52"/>
      <c r="H34" s="30"/>
      <c r="I34" s="54" t="e">
        <f>ROUND(SUM(I23:I33),2)</f>
        <v>#REF!</v>
      </c>
    </row>
    <row r="35" spans="1:9" ht="16.5" thickTop="1">
      <c r="A35" s="16">
        <v>3</v>
      </c>
      <c r="B35" s="72" t="s">
        <v>25</v>
      </c>
      <c r="C35" s="48" t="s">
        <v>31</v>
      </c>
      <c r="E35" s="98"/>
      <c r="H35" s="11"/>
      <c r="I35" s="50"/>
    </row>
    <row r="36" spans="1:9">
      <c r="A36" s="16"/>
      <c r="B36" s="4">
        <v>8000</v>
      </c>
      <c r="C36" s="40" t="e">
        <f t="shared" ref="C36:C46" si="8">IF(ISNA(VLOOKUP(B36,CU_EQUIPO,2,FALSE)),0,VLOOKUP(B36,CU_EQUIPO,2,FALSE))</f>
        <v>#REF!</v>
      </c>
      <c r="D36" s="49" t="e">
        <f t="shared" ref="D36:D46" si="9">IF(ISNA(VLOOKUP(B36,CU_EQUIPO,3,FALSE)),0,VLOOKUP(B36,CU_EQUIPO,3,FALSE))</f>
        <v>#REF!</v>
      </c>
      <c r="E36" s="98">
        <v>0</v>
      </c>
      <c r="F36" s="49"/>
      <c r="G36" s="49"/>
      <c r="H36" s="11" t="e">
        <f t="shared" ref="H36:H46" si="10">IF(ISNA(VLOOKUP(B36,CU_EQUIPO,3,FALSE)),0,VLOOKUP(B36,CU_EQUIPO,4,FALSE))</f>
        <v>#REF!</v>
      </c>
      <c r="I36" s="50" t="e">
        <f t="shared" ref="I36:I46" si="11">ROUND(H36*E36,2)</f>
        <v>#REF!</v>
      </c>
    </row>
    <row r="37" spans="1:9">
      <c r="A37" s="16"/>
      <c r="C37" s="40" t="e">
        <f t="shared" si="8"/>
        <v>#REF!</v>
      </c>
      <c r="D37" s="49" t="e">
        <f t="shared" si="9"/>
        <v>#REF!</v>
      </c>
      <c r="E37" s="73"/>
      <c r="F37" s="49"/>
      <c r="G37" s="49"/>
      <c r="H37" s="19" t="e">
        <f t="shared" si="10"/>
        <v>#REF!</v>
      </c>
      <c r="I37" s="50" t="e">
        <f t="shared" si="11"/>
        <v>#REF!</v>
      </c>
    </row>
    <row r="38" spans="1:9">
      <c r="A38" s="16"/>
      <c r="C38" s="40" t="e">
        <f t="shared" si="8"/>
        <v>#REF!</v>
      </c>
      <c r="D38" s="49" t="e">
        <f t="shared" si="9"/>
        <v>#REF!</v>
      </c>
      <c r="E38" s="73">
        <v>0</v>
      </c>
      <c r="F38" s="49"/>
      <c r="G38" s="49"/>
      <c r="H38" s="19" t="e">
        <f t="shared" si="10"/>
        <v>#REF!</v>
      </c>
      <c r="I38" s="50" t="e">
        <f t="shared" si="11"/>
        <v>#REF!</v>
      </c>
    </row>
    <row r="39" spans="1:9">
      <c r="A39" s="16"/>
      <c r="C39" s="40" t="e">
        <f t="shared" si="8"/>
        <v>#REF!</v>
      </c>
      <c r="D39" s="49" t="e">
        <f t="shared" si="9"/>
        <v>#REF!</v>
      </c>
      <c r="E39" s="73"/>
      <c r="F39" s="49"/>
      <c r="G39" s="49"/>
      <c r="H39" s="11" t="e">
        <f t="shared" si="10"/>
        <v>#REF!</v>
      </c>
      <c r="I39" s="50" t="e">
        <f t="shared" si="11"/>
        <v>#REF!</v>
      </c>
    </row>
    <row r="40" spans="1:9">
      <c r="A40" s="16"/>
      <c r="C40" s="40" t="e">
        <f t="shared" si="8"/>
        <v>#REF!</v>
      </c>
      <c r="D40" s="49" t="e">
        <f t="shared" si="9"/>
        <v>#REF!</v>
      </c>
      <c r="E40" s="73"/>
      <c r="F40" s="49"/>
      <c r="G40" s="49"/>
      <c r="H40" s="11" t="e">
        <f t="shared" si="10"/>
        <v>#REF!</v>
      </c>
      <c r="I40" s="50" t="e">
        <f t="shared" si="11"/>
        <v>#REF!</v>
      </c>
    </row>
    <row r="41" spans="1:9">
      <c r="A41" s="16"/>
      <c r="C41" s="40" t="e">
        <f t="shared" si="8"/>
        <v>#REF!</v>
      </c>
      <c r="D41" s="49" t="e">
        <f t="shared" si="9"/>
        <v>#REF!</v>
      </c>
      <c r="E41" s="73"/>
      <c r="F41" s="49"/>
      <c r="G41" s="49"/>
      <c r="H41" s="11" t="e">
        <f t="shared" si="10"/>
        <v>#REF!</v>
      </c>
      <c r="I41" s="50" t="e">
        <f t="shared" si="11"/>
        <v>#REF!</v>
      </c>
    </row>
    <row r="42" spans="1:9">
      <c r="A42" s="16"/>
      <c r="C42" s="40" t="e">
        <f t="shared" si="8"/>
        <v>#REF!</v>
      </c>
      <c r="D42" s="49" t="e">
        <f t="shared" si="9"/>
        <v>#REF!</v>
      </c>
      <c r="E42" s="73"/>
      <c r="F42" s="49"/>
      <c r="G42" s="49"/>
      <c r="H42" s="11" t="e">
        <f t="shared" si="10"/>
        <v>#REF!</v>
      </c>
      <c r="I42" s="50" t="e">
        <f t="shared" si="11"/>
        <v>#REF!</v>
      </c>
    </row>
    <row r="43" spans="1:9">
      <c r="A43" s="16"/>
      <c r="C43" s="40" t="e">
        <f t="shared" si="8"/>
        <v>#REF!</v>
      </c>
      <c r="D43" s="49" t="e">
        <f t="shared" si="9"/>
        <v>#REF!</v>
      </c>
      <c r="E43" s="73"/>
      <c r="F43" s="49"/>
      <c r="G43" s="49"/>
      <c r="H43" s="11" t="e">
        <f t="shared" si="10"/>
        <v>#REF!</v>
      </c>
      <c r="I43" s="50" t="e">
        <f t="shared" si="11"/>
        <v>#REF!</v>
      </c>
    </row>
    <row r="44" spans="1:9">
      <c r="A44" s="16"/>
      <c r="C44" s="40" t="e">
        <f t="shared" si="8"/>
        <v>#REF!</v>
      </c>
      <c r="D44" s="49" t="e">
        <f t="shared" si="9"/>
        <v>#REF!</v>
      </c>
      <c r="E44" s="73"/>
      <c r="F44" s="49"/>
      <c r="G44" s="49"/>
      <c r="H44" s="11" t="e">
        <f t="shared" si="10"/>
        <v>#REF!</v>
      </c>
      <c r="I44" s="50" t="e">
        <f t="shared" si="11"/>
        <v>#REF!</v>
      </c>
    </row>
    <row r="45" spans="1:9">
      <c r="A45" s="16"/>
      <c r="C45" s="40" t="e">
        <f t="shared" si="8"/>
        <v>#REF!</v>
      </c>
      <c r="D45" s="49" t="e">
        <f t="shared" si="9"/>
        <v>#REF!</v>
      </c>
      <c r="E45" s="73"/>
      <c r="F45" s="49"/>
      <c r="G45" s="49"/>
      <c r="H45" s="11" t="e">
        <f t="shared" si="10"/>
        <v>#REF!</v>
      </c>
      <c r="I45" s="50" t="e">
        <f t="shared" si="11"/>
        <v>#REF!</v>
      </c>
    </row>
    <row r="46" spans="1:9">
      <c r="A46" s="16"/>
      <c r="B46" s="26">
        <v>20000</v>
      </c>
      <c r="C46" s="55" t="e">
        <f t="shared" si="8"/>
        <v>#REF!</v>
      </c>
      <c r="D46" s="56" t="e">
        <f t="shared" si="9"/>
        <v>#REF!</v>
      </c>
      <c r="E46" s="74" t="e">
        <f>E33</f>
        <v>#REF!</v>
      </c>
      <c r="F46" s="56"/>
      <c r="G46" s="56"/>
      <c r="H46" s="76" t="e">
        <f t="shared" si="10"/>
        <v>#REF!</v>
      </c>
      <c r="I46" s="50" t="e">
        <f t="shared" si="11"/>
        <v>#REF!</v>
      </c>
    </row>
    <row r="47" spans="1:9" ht="16.5" thickBot="1">
      <c r="A47" s="28"/>
      <c r="B47" s="28"/>
      <c r="C47" s="51" t="s">
        <v>32</v>
      </c>
      <c r="D47" s="52"/>
      <c r="E47" s="52"/>
      <c r="F47" s="52"/>
      <c r="G47" s="52"/>
      <c r="H47" s="53"/>
      <c r="I47" s="54" t="e">
        <f>ROUND(SUM(I36:I46),2)</f>
        <v>#REF!</v>
      </c>
    </row>
    <row r="48" spans="1:9" ht="16.5" thickTop="1">
      <c r="C48" s="6"/>
      <c r="D48" s="4"/>
      <c r="E48" s="4"/>
      <c r="F48" s="4"/>
      <c r="G48" s="4"/>
      <c r="H48" s="11"/>
      <c r="I48" s="14"/>
    </row>
    <row r="49" spans="1:9">
      <c r="C49" s="17" t="s">
        <v>55</v>
      </c>
      <c r="D49" s="4"/>
      <c r="E49" s="4"/>
      <c r="F49" s="4"/>
      <c r="G49" s="4"/>
      <c r="H49" s="11"/>
      <c r="I49" s="15" t="e">
        <f>I21+I34+I47</f>
        <v>#REF!</v>
      </c>
    </row>
    <row r="50" spans="1:9" ht="16.5" thickBot="1">
      <c r="A50" s="103"/>
      <c r="B50" s="103"/>
      <c r="C50" s="104"/>
      <c r="D50" s="103"/>
      <c r="E50" s="103"/>
      <c r="F50" s="103"/>
      <c r="G50" s="103"/>
      <c r="H50" s="105"/>
      <c r="I50" s="107"/>
    </row>
    <row r="51" spans="1:9" ht="18" customHeight="1" thickTop="1">
      <c r="A51" s="3">
        <v>4</v>
      </c>
      <c r="C51" s="17" t="s">
        <v>50</v>
      </c>
      <c r="D51" s="4"/>
      <c r="E51" s="4"/>
      <c r="F51" s="4"/>
      <c r="G51" s="4"/>
      <c r="H51" s="11"/>
      <c r="I51" s="14"/>
    </row>
    <row r="52" spans="1:9">
      <c r="C52" s="6"/>
      <c r="D52" s="4"/>
      <c r="E52" s="4"/>
      <c r="F52" s="4"/>
      <c r="G52" s="4"/>
      <c r="H52" s="11"/>
      <c r="I52" s="14"/>
    </row>
    <row r="53" spans="1:9">
      <c r="C53" s="6" t="s">
        <v>51</v>
      </c>
      <c r="D53" s="4"/>
      <c r="E53" s="4"/>
      <c r="F53" s="4"/>
      <c r="G53" s="4"/>
      <c r="H53" s="11"/>
      <c r="I53" s="14">
        <v>0</v>
      </c>
    </row>
    <row r="54" spans="1:9">
      <c r="C54" s="6" t="s">
        <v>52</v>
      </c>
      <c r="D54" s="4"/>
      <c r="E54" s="4"/>
      <c r="F54" s="4"/>
      <c r="G54" s="4"/>
      <c r="H54" s="11"/>
      <c r="I54" s="14">
        <v>0</v>
      </c>
    </row>
    <row r="55" spans="1:9" ht="16.5" thickBot="1">
      <c r="A55" s="28"/>
      <c r="B55" s="28"/>
      <c r="C55" s="29" t="s">
        <v>53</v>
      </c>
      <c r="D55" s="28"/>
      <c r="E55" s="28"/>
      <c r="F55" s="28"/>
      <c r="G55" s="28"/>
      <c r="H55" s="30"/>
      <c r="I55" s="108">
        <f>SUM(I53:I54)</f>
        <v>0</v>
      </c>
    </row>
    <row r="56" spans="1:9" ht="16.5" thickTop="1">
      <c r="A56" s="3">
        <v>5</v>
      </c>
      <c r="C56" s="17" t="s">
        <v>16</v>
      </c>
      <c r="D56" s="4"/>
      <c r="E56" s="4"/>
      <c r="F56" s="4"/>
      <c r="G56" s="4"/>
      <c r="H56" s="11"/>
      <c r="I56" s="14"/>
    </row>
    <row r="57" spans="1:9">
      <c r="C57" s="6"/>
      <c r="D57" s="4"/>
      <c r="E57" s="4"/>
      <c r="F57" s="4"/>
      <c r="G57" s="4"/>
      <c r="H57" s="11"/>
      <c r="I57" s="14"/>
    </row>
    <row r="58" spans="1:9">
      <c r="C58" s="6" t="s">
        <v>59</v>
      </c>
      <c r="D58" s="4"/>
      <c r="E58" s="4"/>
      <c r="F58" s="4"/>
      <c r="G58" s="4"/>
      <c r="H58" s="11"/>
      <c r="I58" s="14">
        <v>0</v>
      </c>
    </row>
    <row r="59" spans="1:9" ht="16.5" thickBot="1">
      <c r="A59" s="28"/>
      <c r="B59" s="28"/>
      <c r="C59" s="29" t="s">
        <v>54</v>
      </c>
      <c r="D59" s="28"/>
      <c r="E59" s="28"/>
      <c r="F59" s="28"/>
      <c r="G59" s="28"/>
      <c r="H59" s="30"/>
      <c r="I59" s="108">
        <f>SUM(I58)</f>
        <v>0</v>
      </c>
    </row>
    <row r="60" spans="1:9" ht="16.5" thickTop="1">
      <c r="C60" s="6"/>
      <c r="D60" s="4"/>
      <c r="E60" s="4"/>
      <c r="F60" s="4"/>
      <c r="G60" s="4"/>
      <c r="H60" s="11"/>
      <c r="I60" s="14"/>
    </row>
    <row r="61" spans="1:9">
      <c r="A61" s="8"/>
      <c r="B61" s="8"/>
      <c r="C61" s="109" t="s">
        <v>56</v>
      </c>
      <c r="D61" s="8"/>
      <c r="E61" s="8"/>
      <c r="F61" s="8"/>
      <c r="G61" s="8"/>
      <c r="H61" s="110"/>
      <c r="I61" s="112">
        <f>+I55+I59</f>
        <v>0</v>
      </c>
    </row>
    <row r="62" spans="1:9" ht="16.5" thickBot="1">
      <c r="A62" s="103"/>
      <c r="B62" s="103"/>
      <c r="C62" s="104"/>
      <c r="D62" s="103"/>
      <c r="E62" s="103"/>
      <c r="F62" s="103"/>
      <c r="G62" s="103"/>
      <c r="H62" s="105"/>
      <c r="I62" s="113"/>
    </row>
    <row r="63" spans="1:9" ht="16.5" thickTop="1">
      <c r="A63" s="8"/>
      <c r="B63" s="8"/>
      <c r="C63" s="32"/>
      <c r="D63" s="8"/>
      <c r="E63" s="8"/>
      <c r="F63" s="8"/>
      <c r="G63" s="8"/>
      <c r="H63" s="110"/>
      <c r="I63" s="114"/>
    </row>
    <row r="64" spans="1:9">
      <c r="C64" s="17" t="s">
        <v>57</v>
      </c>
      <c r="D64" s="4"/>
      <c r="E64" s="4"/>
      <c r="F64" s="4"/>
      <c r="G64" s="4"/>
      <c r="H64" s="11"/>
      <c r="I64" s="57" t="e">
        <f>TRUNC(I49+I61,2)</f>
        <v>#REF!</v>
      </c>
    </row>
    <row r="65" spans="1:9" ht="16.5" thickBot="1">
      <c r="A65" s="5"/>
      <c r="B65" s="5"/>
      <c r="C65" s="33"/>
      <c r="D65" s="5"/>
      <c r="E65" s="5"/>
      <c r="F65" s="5"/>
      <c r="G65" s="5"/>
      <c r="H65" s="20"/>
      <c r="I65" s="35"/>
    </row>
  </sheetData>
  <mergeCells count="2">
    <mergeCell ref="C4:H4"/>
    <mergeCell ref="A1:I2"/>
  </mergeCells>
  <phoneticPr fontId="0" type="noConversion"/>
  <printOptions horizontalCentered="1" verticalCentered="1"/>
  <pageMargins left="0.91" right="0.75" top="0.8" bottom="1" header="0" footer="0"/>
  <pageSetup scale="6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34">
    <tabColor rgb="FFFF0000"/>
    <pageSetUpPr fitToPage="1"/>
  </sheetPr>
  <dimension ref="A1:P68"/>
  <sheetViews>
    <sheetView showGridLines="0" showZeros="0" view="pageBreakPreview" zoomScale="80" zoomScaleNormal="75" zoomScaleSheetLayoutView="80" workbookViewId="0">
      <pane ySplit="11" topLeftCell="A12" activePane="bottomLeft" state="frozen"/>
      <selection activeCell="E26" sqref="E26"/>
      <selection pane="bottomLeft" activeCell="B23" sqref="B23:B26"/>
    </sheetView>
  </sheetViews>
  <sheetFormatPr baseColWidth="10" defaultColWidth="9.140625" defaultRowHeight="15.75"/>
  <cols>
    <col min="1" max="1" width="14.85546875" style="4" customWidth="1"/>
    <col min="2" max="2" width="10.42578125" style="4" customWidth="1"/>
    <col min="3" max="3" width="44" style="40" customWidth="1"/>
    <col min="4" max="5" width="15.7109375" style="39" customWidth="1"/>
    <col min="6" max="6" width="15.7109375" style="39" hidden="1" customWidth="1"/>
    <col min="7" max="7" width="21.42578125" style="39" hidden="1" customWidth="1"/>
    <col min="8" max="8" width="18.140625" style="46" customWidth="1"/>
    <col min="9" max="9" width="15.7109375" style="39" customWidth="1"/>
    <col min="10" max="11" width="9.140625" style="4"/>
    <col min="12" max="12" width="21.28515625" style="4" bestFit="1" customWidth="1"/>
    <col min="13" max="16384" width="9.140625" style="4"/>
  </cols>
  <sheetData>
    <row r="1" spans="1:15" ht="15.75" customHeight="1">
      <c r="A1" s="322" t="s">
        <v>97</v>
      </c>
      <c r="B1" s="322"/>
      <c r="C1" s="322"/>
      <c r="D1" s="322"/>
      <c r="E1" s="322"/>
      <c r="F1" s="322"/>
      <c r="G1" s="322"/>
      <c r="H1" s="322"/>
      <c r="I1" s="322"/>
    </row>
    <row r="2" spans="1:15" ht="13.5" customHeight="1">
      <c r="A2" s="322"/>
      <c r="B2" s="322"/>
      <c r="C2" s="322"/>
      <c r="D2" s="322"/>
      <c r="E2" s="322"/>
      <c r="F2" s="322"/>
      <c r="G2" s="322"/>
      <c r="H2" s="322"/>
      <c r="I2" s="322"/>
    </row>
    <row r="3" spans="1:15" ht="13.5" customHeight="1">
      <c r="A3" s="323"/>
      <c r="B3" s="323"/>
      <c r="C3" s="323"/>
      <c r="D3" s="323"/>
      <c r="E3" s="323"/>
      <c r="F3" s="323"/>
      <c r="G3" s="323"/>
      <c r="H3" s="323"/>
      <c r="I3" s="323"/>
    </row>
    <row r="4" spans="1:15" ht="13.5" customHeight="1">
      <c r="A4" s="24"/>
      <c r="B4" s="22" t="e">
        <f>#REF!</f>
        <v>#REF!</v>
      </c>
      <c r="C4" s="324"/>
      <c r="D4" s="324"/>
      <c r="E4" s="324"/>
      <c r="F4" s="324"/>
      <c r="G4" s="324"/>
      <c r="H4" s="324"/>
      <c r="I4" s="38"/>
    </row>
    <row r="5" spans="1:15" ht="13.5" customHeight="1">
      <c r="A5" s="24"/>
      <c r="B5" s="22"/>
      <c r="C5" s="22">
        <f>IF(ISNA(VLOOKUP(B5,PRESUPUESTOS,2,FALSE)),0,VLOOKUP(B5,PRESUPUESTOS,2,FALSE))</f>
        <v>0</v>
      </c>
      <c r="D5" s="38"/>
      <c r="E5" s="38"/>
      <c r="F5" s="38"/>
      <c r="G5" s="38"/>
      <c r="H5" s="38"/>
      <c r="I5" s="38"/>
    </row>
    <row r="6" spans="1:15" ht="13.5" customHeight="1">
      <c r="A6" s="109" t="s">
        <v>43</v>
      </c>
      <c r="B6" s="16"/>
      <c r="C6" s="162" t="s">
        <v>152</v>
      </c>
      <c r="I6" s="81"/>
    </row>
    <row r="7" spans="1:15" ht="13.5" customHeight="1">
      <c r="A7" s="109" t="s">
        <v>112</v>
      </c>
      <c r="B7" s="162"/>
      <c r="C7" s="167" t="s">
        <v>7</v>
      </c>
      <c r="I7" s="81"/>
    </row>
    <row r="8" spans="1:15" ht="13.5" customHeight="1">
      <c r="A8" s="109" t="s">
        <v>113</v>
      </c>
      <c r="B8" s="162"/>
      <c r="C8" s="163">
        <v>1</v>
      </c>
      <c r="I8" s="81"/>
    </row>
    <row r="9" spans="1:15" ht="16.5" thickBot="1">
      <c r="A9" s="20"/>
      <c r="B9" s="5"/>
      <c r="C9" s="41"/>
      <c r="D9" s="42"/>
      <c r="E9" s="42"/>
      <c r="F9" s="42"/>
      <c r="G9" s="42"/>
      <c r="H9" s="20"/>
      <c r="I9" s="43"/>
    </row>
    <row r="10" spans="1:15" ht="15.75" customHeight="1">
      <c r="A10" s="325" t="s">
        <v>2</v>
      </c>
      <c r="C10" s="325" t="s">
        <v>3</v>
      </c>
      <c r="D10" s="325" t="s">
        <v>4</v>
      </c>
      <c r="E10" s="325" t="s">
        <v>5</v>
      </c>
      <c r="F10" s="201" t="s">
        <v>36</v>
      </c>
      <c r="G10" s="201" t="s">
        <v>26</v>
      </c>
      <c r="H10" s="13" t="s">
        <v>26</v>
      </c>
      <c r="I10" s="327" t="s">
        <v>124</v>
      </c>
    </row>
    <row r="11" spans="1:15">
      <c r="A11" s="326"/>
      <c r="B11" s="9"/>
      <c r="C11" s="326"/>
      <c r="D11" s="326"/>
      <c r="E11" s="326"/>
      <c r="F11" s="9" t="s">
        <v>76</v>
      </c>
      <c r="G11" s="9" t="s">
        <v>77</v>
      </c>
      <c r="H11" s="21" t="s">
        <v>123</v>
      </c>
      <c r="I11" s="328"/>
    </row>
    <row r="12" spans="1:15">
      <c r="A12" s="201">
        <v>1</v>
      </c>
      <c r="B12" s="72" t="s">
        <v>25</v>
      </c>
      <c r="C12" s="48" t="s">
        <v>9</v>
      </c>
      <c r="E12" s="68"/>
      <c r="H12" s="49"/>
    </row>
    <row r="13" spans="1:15">
      <c r="A13" s="201"/>
      <c r="B13" s="70">
        <v>200</v>
      </c>
      <c r="C13" s="40" t="e">
        <f t="shared" ref="C13:C18" si="0">IF(ISNA(VLOOKUP(B13,CU_MATERIALES,2,FALSE)),0,VLOOKUP(B13,CU_MATERIALES,2,FALSE))</f>
        <v>#REF!</v>
      </c>
      <c r="D13" s="49" t="s">
        <v>115</v>
      </c>
      <c r="E13" s="123">
        <v>23.32</v>
      </c>
      <c r="F13" s="49"/>
      <c r="G13" s="49"/>
      <c r="H13" s="11" t="e">
        <f t="shared" ref="H13:H18" si="1">IF(ISNA(VLOOKUP(B13,CU_MATERIALES,3,FALSE)),0,VLOOKUP(B13,CU_MATERIALES,4,FALSE))</f>
        <v>#REF!</v>
      </c>
      <c r="I13" s="50" t="e">
        <f t="shared" ref="I13:I18" si="2">ROUND(H13*E13,2)</f>
        <v>#REF!</v>
      </c>
    </row>
    <row r="14" spans="1:15">
      <c r="A14" s="201"/>
      <c r="B14" s="70">
        <v>7000</v>
      </c>
      <c r="C14" s="40" t="e">
        <f t="shared" si="0"/>
        <v>#REF!</v>
      </c>
      <c r="D14" s="49" t="s">
        <v>7</v>
      </c>
      <c r="E14" s="123">
        <v>0.55200000000000005</v>
      </c>
      <c r="F14" s="49"/>
      <c r="G14" s="49"/>
      <c r="H14" s="11" t="e">
        <f t="shared" si="1"/>
        <v>#REF!</v>
      </c>
      <c r="I14" s="50" t="e">
        <f t="shared" si="2"/>
        <v>#REF!</v>
      </c>
      <c r="J14" s="4" t="s">
        <v>116</v>
      </c>
    </row>
    <row r="15" spans="1:15">
      <c r="A15" s="201"/>
      <c r="B15" s="70">
        <v>500</v>
      </c>
      <c r="C15" s="40" t="e">
        <f t="shared" si="0"/>
        <v>#REF!</v>
      </c>
      <c r="D15" s="49" t="s">
        <v>7</v>
      </c>
      <c r="E15" s="123">
        <v>0.55200000000000005</v>
      </c>
      <c r="F15" s="49"/>
      <c r="G15" s="49"/>
      <c r="H15" s="11" t="e">
        <f t="shared" si="1"/>
        <v>#REF!</v>
      </c>
      <c r="I15" s="50" t="e">
        <f t="shared" si="2"/>
        <v>#REF!</v>
      </c>
      <c r="J15" s="4" t="s">
        <v>117</v>
      </c>
    </row>
    <row r="16" spans="1:15">
      <c r="A16" s="201"/>
      <c r="B16" s="4">
        <v>2201</v>
      </c>
      <c r="C16" s="40" t="e">
        <f t="shared" si="0"/>
        <v>#REF!</v>
      </c>
      <c r="D16" s="49" t="s">
        <v>104</v>
      </c>
      <c r="E16" s="123">
        <v>9.83</v>
      </c>
      <c r="F16" s="49"/>
      <c r="G16" s="49"/>
      <c r="H16" s="11" t="e">
        <f t="shared" si="1"/>
        <v>#REF!</v>
      </c>
      <c r="I16" s="50" t="e">
        <f t="shared" si="2"/>
        <v>#REF!</v>
      </c>
      <c r="J16" s="4">
        <f>856.15+6.7</f>
        <v>862.85</v>
      </c>
      <c r="L16" s="4">
        <f>J16*E16</f>
        <v>8481.8155000000006</v>
      </c>
      <c r="M16" s="4">
        <v>4660.18</v>
      </c>
      <c r="N16" s="4">
        <f>L16-M16</f>
        <v>3821.6355000000003</v>
      </c>
      <c r="O16" s="4">
        <f>N16/J16</f>
        <v>4.429084429506867</v>
      </c>
    </row>
    <row r="17" spans="1:16">
      <c r="A17" s="201"/>
      <c r="B17" s="4">
        <v>1000</v>
      </c>
      <c r="C17" s="40" t="e">
        <f t="shared" si="0"/>
        <v>#REF!</v>
      </c>
      <c r="D17" s="49" t="s">
        <v>94</v>
      </c>
      <c r="E17" s="241">
        <v>4</v>
      </c>
      <c r="F17" s="49"/>
      <c r="G17" s="49"/>
      <c r="H17" s="11" t="e">
        <f t="shared" si="1"/>
        <v>#REF!</v>
      </c>
      <c r="I17" s="50" t="e">
        <f t="shared" si="2"/>
        <v>#REF!</v>
      </c>
      <c r="J17" s="4" t="s">
        <v>119</v>
      </c>
    </row>
    <row r="18" spans="1:16">
      <c r="A18" s="201"/>
      <c r="B18" s="4">
        <v>2500</v>
      </c>
      <c r="C18" s="40" t="e">
        <f t="shared" si="0"/>
        <v>#REF!</v>
      </c>
      <c r="D18" s="171" t="s">
        <v>103</v>
      </c>
      <c r="E18" s="241">
        <v>5.2</v>
      </c>
      <c r="F18" s="49"/>
      <c r="G18" s="49"/>
      <c r="H18" s="11" t="e">
        <f t="shared" si="1"/>
        <v>#REF!</v>
      </c>
      <c r="I18" s="50" t="e">
        <f t="shared" si="2"/>
        <v>#REF!</v>
      </c>
      <c r="J18" s="4" t="s">
        <v>120</v>
      </c>
    </row>
    <row r="19" spans="1:16">
      <c r="A19" s="201"/>
      <c r="B19" s="70"/>
      <c r="C19" s="40">
        <v>0</v>
      </c>
      <c r="D19" s="49">
        <v>0</v>
      </c>
      <c r="E19" s="73"/>
      <c r="F19" s="49"/>
      <c r="G19" s="49"/>
      <c r="H19" s="11">
        <v>0</v>
      </c>
      <c r="I19" s="50">
        <v>0</v>
      </c>
      <c r="P19" s="4">
        <f>1/0.15</f>
        <v>6.666666666666667</v>
      </c>
    </row>
    <row r="20" spans="1:16">
      <c r="A20" s="201"/>
      <c r="B20" s="70"/>
      <c r="C20" s="40">
        <v>0</v>
      </c>
      <c r="D20" s="49">
        <v>0</v>
      </c>
      <c r="E20" s="73"/>
      <c r="F20" s="49"/>
      <c r="G20" s="49"/>
      <c r="H20" s="11">
        <v>0</v>
      </c>
      <c r="I20" s="50">
        <v>0</v>
      </c>
      <c r="P20" s="4">
        <f>70*P19</f>
        <v>466.66666666666669</v>
      </c>
    </row>
    <row r="21" spans="1:16" ht="16.5" thickBot="1">
      <c r="A21" s="168"/>
      <c r="B21" s="28"/>
      <c r="C21" s="51">
        <v>0</v>
      </c>
      <c r="D21" s="52">
        <v>0</v>
      </c>
      <c r="E21" s="75"/>
      <c r="F21" s="52"/>
      <c r="G21" s="52"/>
      <c r="H21" s="30">
        <v>0</v>
      </c>
      <c r="I21" s="54" t="e">
        <f>ROUND(SUM(I11:I20),2)</f>
        <v>#REF!</v>
      </c>
    </row>
    <row r="22" spans="1:16" ht="16.5" thickTop="1">
      <c r="A22" s="201">
        <v>2</v>
      </c>
      <c r="B22" s="72" t="s">
        <v>25</v>
      </c>
      <c r="C22" s="40" t="s">
        <v>29</v>
      </c>
      <c r="D22" s="39">
        <v>0</v>
      </c>
      <c r="E22" s="98"/>
      <c r="H22" s="11">
        <v>0</v>
      </c>
      <c r="I22" s="50">
        <v>0</v>
      </c>
    </row>
    <row r="23" spans="1:16">
      <c r="A23" s="201"/>
      <c r="B23" s="4">
        <v>100</v>
      </c>
      <c r="C23" s="40" t="e">
        <f>IF(ISNA(VLOOKUP(B23,CU_MANO_DE_OBRA,2,FALSE)),0,VLOOKUP(B23,CU_MANO_DE_OBRA,2,FALSE))</f>
        <v>#REF!</v>
      </c>
      <c r="D23" s="49" t="e">
        <f>IF(ISNA(VLOOKUP(B23,CU_MANO_DE_OBRA,3,FALSE)),0,VLOOKUP(B23,CU_MANO_DE_OBRA,3,FALSE))</f>
        <v>#REF!</v>
      </c>
      <c r="E23" s="242">
        <v>4</v>
      </c>
      <c r="F23" s="49"/>
      <c r="G23" s="49"/>
      <c r="H23" s="11" t="e">
        <f>IF(ISNA(VLOOKUP(B23,CU_MANO_DE_OBRA,3,FALSE)),0,VLOOKUP(B23,CU_MANO_DE_OBRA,4,FALSE))</f>
        <v>#REF!</v>
      </c>
      <c r="I23" s="50" t="e">
        <f>ROUND(H23*E23,2)</f>
        <v>#REF!</v>
      </c>
      <c r="J23" s="4" t="s">
        <v>121</v>
      </c>
    </row>
    <row r="24" spans="1:16">
      <c r="A24" s="201"/>
      <c r="B24" s="4">
        <v>7600</v>
      </c>
      <c r="C24" s="40" t="e">
        <f t="shared" ref="C24:C29" si="3">IF(ISNA(VLOOKUP(B24,CU_MANO_DE_OBRA,2,FALSE)),0,VLOOKUP(B24,CU_MANO_DE_OBRA,2,FALSE))</f>
        <v>#REF!</v>
      </c>
      <c r="D24" s="49" t="e">
        <f t="shared" ref="D24:D29" si="4">IF(ISNA(VLOOKUP(B24,CU_MANO_DE_OBRA,3,FALSE)),0,VLOOKUP(B24,CU_MANO_DE_OBRA,3,FALSE))</f>
        <v>#REF!</v>
      </c>
      <c r="E24" s="242">
        <v>4</v>
      </c>
      <c r="F24" s="49"/>
      <c r="G24" s="49"/>
      <c r="H24" s="11" t="e">
        <f t="shared" ref="H24:H29" si="5">IF(ISNA(VLOOKUP(B24,CU_MANO_DE_OBRA,3,FALSE)),0,VLOOKUP(B24,CU_MANO_DE_OBRA,4,FALSE))</f>
        <v>#REF!</v>
      </c>
      <c r="I24" s="50" t="e">
        <f t="shared" ref="I24:I29" si="6">ROUND(H24*E24,2)</f>
        <v>#REF!</v>
      </c>
      <c r="J24" s="4" t="s">
        <v>121</v>
      </c>
    </row>
    <row r="25" spans="1:16">
      <c r="A25" s="201"/>
      <c r="B25" s="4">
        <v>4900</v>
      </c>
      <c r="C25" s="40" t="e">
        <f t="shared" si="3"/>
        <v>#REF!</v>
      </c>
      <c r="D25" s="49" t="e">
        <f t="shared" si="4"/>
        <v>#REF!</v>
      </c>
      <c r="E25" s="98">
        <v>3</v>
      </c>
      <c r="F25" s="49"/>
      <c r="G25" s="49"/>
      <c r="H25" s="11" t="e">
        <f t="shared" si="5"/>
        <v>#REF!</v>
      </c>
      <c r="I25" s="50" t="e">
        <f t="shared" si="6"/>
        <v>#REF!</v>
      </c>
      <c r="J25" s="4" t="s">
        <v>121</v>
      </c>
    </row>
    <row r="26" spans="1:16">
      <c r="A26" s="201"/>
      <c r="B26" s="4">
        <v>5000</v>
      </c>
      <c r="C26" s="40" t="e">
        <f t="shared" si="3"/>
        <v>#REF!</v>
      </c>
      <c r="D26" s="49" t="e">
        <f t="shared" si="4"/>
        <v>#REF!</v>
      </c>
      <c r="E26" s="98">
        <v>3</v>
      </c>
      <c r="F26" s="49"/>
      <c r="G26" s="49"/>
      <c r="H26" s="11" t="e">
        <f t="shared" si="5"/>
        <v>#REF!</v>
      </c>
      <c r="I26" s="50" t="e">
        <f t="shared" si="6"/>
        <v>#REF!</v>
      </c>
    </row>
    <row r="27" spans="1:16">
      <c r="A27" s="201"/>
      <c r="C27" s="40" t="e">
        <f t="shared" si="3"/>
        <v>#REF!</v>
      </c>
      <c r="D27" s="49" t="e">
        <f t="shared" si="4"/>
        <v>#REF!</v>
      </c>
      <c r="E27" s="123"/>
      <c r="F27" s="49"/>
      <c r="G27" s="49"/>
      <c r="H27" s="11" t="e">
        <f t="shared" si="5"/>
        <v>#REF!</v>
      </c>
      <c r="I27" s="50" t="e">
        <f t="shared" si="6"/>
        <v>#REF!</v>
      </c>
    </row>
    <row r="28" spans="1:16">
      <c r="A28" s="201"/>
      <c r="C28" s="40" t="e">
        <f t="shared" si="3"/>
        <v>#REF!</v>
      </c>
      <c r="D28" s="49" t="e">
        <f t="shared" si="4"/>
        <v>#REF!</v>
      </c>
      <c r="E28" s="123"/>
      <c r="F28" s="49"/>
      <c r="G28" s="49"/>
      <c r="H28" s="11" t="e">
        <f t="shared" si="5"/>
        <v>#REF!</v>
      </c>
      <c r="I28" s="50" t="e">
        <f t="shared" si="6"/>
        <v>#REF!</v>
      </c>
    </row>
    <row r="29" spans="1:16">
      <c r="A29" s="201"/>
      <c r="C29" s="40" t="e">
        <f t="shared" si="3"/>
        <v>#REF!</v>
      </c>
      <c r="D29" s="49" t="e">
        <f t="shared" si="4"/>
        <v>#REF!</v>
      </c>
      <c r="E29" s="123"/>
      <c r="F29" s="49"/>
      <c r="G29" s="49"/>
      <c r="H29" s="11" t="e">
        <f t="shared" si="5"/>
        <v>#REF!</v>
      </c>
      <c r="I29" s="50" t="e">
        <f t="shared" si="6"/>
        <v>#REF!</v>
      </c>
    </row>
    <row r="30" spans="1:16">
      <c r="A30" s="201"/>
      <c r="C30" s="40">
        <v>0</v>
      </c>
      <c r="D30" s="49">
        <v>0</v>
      </c>
      <c r="E30" s="73"/>
      <c r="F30" s="49"/>
      <c r="G30" s="49"/>
      <c r="H30" s="37">
        <v>0</v>
      </c>
      <c r="I30" s="50">
        <v>0</v>
      </c>
    </row>
    <row r="31" spans="1:16">
      <c r="A31" s="201"/>
      <c r="C31" s="40">
        <v>0</v>
      </c>
      <c r="D31" s="49">
        <v>0</v>
      </c>
      <c r="E31" s="73"/>
      <c r="F31" s="49"/>
      <c r="G31" s="49"/>
      <c r="H31" s="37">
        <v>0</v>
      </c>
      <c r="I31" s="50">
        <v>0</v>
      </c>
    </row>
    <row r="32" spans="1:16" ht="16.5" thickBot="1">
      <c r="A32" s="201"/>
      <c r="C32" s="51">
        <v>0</v>
      </c>
      <c r="D32" s="52">
        <v>0</v>
      </c>
      <c r="E32" s="75"/>
      <c r="F32" s="52"/>
      <c r="G32" s="52"/>
      <c r="H32" s="30">
        <v>0</v>
      </c>
      <c r="I32" s="54" t="e">
        <f>ROUND(SUM(I23:I31),2)</f>
        <v>#REF!</v>
      </c>
    </row>
    <row r="33" spans="1:12" ht="16.5" thickTop="1">
      <c r="A33" s="201"/>
      <c r="B33" s="26">
        <v>300</v>
      </c>
      <c r="C33" s="55">
        <v>0</v>
      </c>
      <c r="D33" s="149">
        <v>0</v>
      </c>
      <c r="E33" s="146"/>
      <c r="F33" s="56"/>
      <c r="G33" s="56"/>
      <c r="H33" s="76">
        <v>0</v>
      </c>
      <c r="I33" s="50">
        <f>ROUND(H33*E33,2)</f>
        <v>0</v>
      </c>
    </row>
    <row r="34" spans="1:12" ht="16.5" thickBot="1">
      <c r="A34" s="168"/>
      <c r="B34" s="28"/>
      <c r="C34" s="51" t="s">
        <v>30</v>
      </c>
      <c r="D34" s="52"/>
      <c r="E34" s="75"/>
      <c r="F34" s="52"/>
      <c r="G34" s="52"/>
      <c r="H34" s="30"/>
      <c r="I34" s="54" t="e">
        <f>ROUND(SUM(I32:I33),2)</f>
        <v>#REF!</v>
      </c>
    </row>
    <row r="35" spans="1:12" ht="16.5" thickTop="1">
      <c r="A35" s="201">
        <v>3</v>
      </c>
      <c r="B35" s="72" t="s">
        <v>25</v>
      </c>
      <c r="C35" s="40" t="s">
        <v>98</v>
      </c>
      <c r="E35" s="73"/>
      <c r="H35" s="11"/>
      <c r="I35" s="50"/>
    </row>
    <row r="36" spans="1:12">
      <c r="A36" s="201"/>
      <c r="B36" s="4">
        <v>10000</v>
      </c>
      <c r="C36" s="40" t="e">
        <f t="shared" ref="C36:C46" si="7">IF(ISNA(VLOOKUP(B36,CU_EQUIPO,2,FALSE)),0,VLOOKUP(B36,CU_EQUIPO,2,FALSE))</f>
        <v>#REF!</v>
      </c>
      <c r="D36" s="49" t="e">
        <f t="shared" ref="D36:D46" si="8">IF(ISNA(VLOOKUP(B36,CU_EQUIPO,3,FALSE)),0,VLOOKUP(B36,CU_EQUIPO,3,FALSE))</f>
        <v>#REF!</v>
      </c>
      <c r="E36" s="98">
        <v>1</v>
      </c>
      <c r="F36" s="49"/>
      <c r="G36" s="49"/>
      <c r="H36" s="11" t="e">
        <f t="shared" ref="H36:H46" si="9">IF(ISNA(VLOOKUP(B36,CU_EQUIPO,3,FALSE)),0,VLOOKUP(B36,CU_EQUIPO,4,FALSE))</f>
        <v>#REF!</v>
      </c>
      <c r="I36" s="50" t="e">
        <f t="shared" ref="I36:I45" si="10">ROUND(H36*E36,2)</f>
        <v>#REF!</v>
      </c>
      <c r="J36" s="4">
        <f>1.5/7</f>
        <v>0.21428571428571427</v>
      </c>
      <c r="L36" s="4" t="e">
        <f>I36*7</f>
        <v>#REF!</v>
      </c>
    </row>
    <row r="37" spans="1:12">
      <c r="A37" s="201"/>
      <c r="B37" s="4">
        <v>13000</v>
      </c>
      <c r="C37" s="40" t="e">
        <f t="shared" si="7"/>
        <v>#REF!</v>
      </c>
      <c r="D37" s="49" t="e">
        <f t="shared" si="8"/>
        <v>#REF!</v>
      </c>
      <c r="E37" s="242">
        <v>0.1429</v>
      </c>
      <c r="F37" s="49"/>
      <c r="G37" s="49"/>
      <c r="H37" s="11" t="e">
        <f t="shared" si="9"/>
        <v>#REF!</v>
      </c>
      <c r="I37" s="50" t="e">
        <f t="shared" si="10"/>
        <v>#REF!</v>
      </c>
      <c r="J37" s="4">
        <f>1/7</f>
        <v>0.14285714285714285</v>
      </c>
    </row>
    <row r="38" spans="1:12">
      <c r="A38" s="202"/>
      <c r="B38" s="4">
        <v>9000</v>
      </c>
      <c r="C38" s="40" t="e">
        <f t="shared" si="7"/>
        <v>#REF!</v>
      </c>
      <c r="D38" s="49" t="e">
        <f t="shared" si="8"/>
        <v>#REF!</v>
      </c>
      <c r="E38" s="73">
        <v>0.25</v>
      </c>
      <c r="F38" s="49"/>
      <c r="G38" s="49"/>
      <c r="H38" s="11" t="e">
        <f t="shared" si="9"/>
        <v>#REF!</v>
      </c>
      <c r="I38" s="50" t="e">
        <f t="shared" si="10"/>
        <v>#REF!</v>
      </c>
    </row>
    <row r="39" spans="1:12">
      <c r="A39" s="202"/>
      <c r="C39" s="40" t="e">
        <f t="shared" si="7"/>
        <v>#REF!</v>
      </c>
      <c r="D39" s="49" t="e">
        <f t="shared" si="8"/>
        <v>#REF!</v>
      </c>
      <c r="E39" s="73"/>
      <c r="F39" s="49"/>
      <c r="G39" s="49"/>
      <c r="H39" s="11" t="e">
        <f t="shared" si="9"/>
        <v>#REF!</v>
      </c>
      <c r="I39" s="50"/>
    </row>
    <row r="40" spans="1:12">
      <c r="A40" s="202"/>
      <c r="C40" s="40" t="e">
        <f t="shared" si="7"/>
        <v>#REF!</v>
      </c>
      <c r="D40" s="49" t="e">
        <f t="shared" si="8"/>
        <v>#REF!</v>
      </c>
      <c r="E40" s="73"/>
      <c r="F40" s="49"/>
      <c r="G40" s="49"/>
      <c r="H40" s="11" t="e">
        <f t="shared" si="9"/>
        <v>#REF!</v>
      </c>
      <c r="I40" s="50" t="e">
        <f t="shared" si="10"/>
        <v>#REF!</v>
      </c>
    </row>
    <row r="41" spans="1:12">
      <c r="A41" s="202"/>
      <c r="C41" s="40" t="e">
        <f t="shared" si="7"/>
        <v>#REF!</v>
      </c>
      <c r="D41" s="49" t="e">
        <f t="shared" si="8"/>
        <v>#REF!</v>
      </c>
      <c r="E41" s="73"/>
      <c r="F41" s="49"/>
      <c r="G41" s="49"/>
      <c r="H41" s="11" t="e">
        <f t="shared" si="9"/>
        <v>#REF!</v>
      </c>
      <c r="I41" s="50" t="e">
        <f t="shared" si="10"/>
        <v>#REF!</v>
      </c>
    </row>
    <row r="42" spans="1:12">
      <c r="A42" s="202"/>
      <c r="C42" s="40" t="e">
        <f t="shared" si="7"/>
        <v>#REF!</v>
      </c>
      <c r="D42" s="49" t="e">
        <f t="shared" si="8"/>
        <v>#REF!</v>
      </c>
      <c r="E42" s="73"/>
      <c r="F42" s="49"/>
      <c r="G42" s="49"/>
      <c r="H42" s="11" t="e">
        <f t="shared" si="9"/>
        <v>#REF!</v>
      </c>
      <c r="I42" s="50" t="e">
        <f t="shared" si="10"/>
        <v>#REF!</v>
      </c>
    </row>
    <row r="43" spans="1:12">
      <c r="A43" s="202"/>
      <c r="C43" s="40" t="e">
        <f t="shared" si="7"/>
        <v>#REF!</v>
      </c>
      <c r="D43" s="49" t="e">
        <f t="shared" si="8"/>
        <v>#REF!</v>
      </c>
      <c r="E43" s="73"/>
      <c r="F43" s="49"/>
      <c r="G43" s="49"/>
      <c r="H43" s="11" t="e">
        <f t="shared" si="9"/>
        <v>#REF!</v>
      </c>
      <c r="I43" s="50" t="e">
        <f t="shared" si="10"/>
        <v>#REF!</v>
      </c>
    </row>
    <row r="44" spans="1:12">
      <c r="A44" s="202"/>
      <c r="C44" s="40" t="e">
        <f t="shared" si="7"/>
        <v>#REF!</v>
      </c>
      <c r="D44" s="49" t="e">
        <f t="shared" si="8"/>
        <v>#REF!</v>
      </c>
      <c r="E44" s="73"/>
      <c r="F44" s="49"/>
      <c r="G44" s="49"/>
      <c r="H44" s="11" t="e">
        <f t="shared" si="9"/>
        <v>#REF!</v>
      </c>
      <c r="I44" s="50" t="e">
        <f t="shared" si="10"/>
        <v>#REF!</v>
      </c>
    </row>
    <row r="45" spans="1:12">
      <c r="A45" s="202"/>
      <c r="C45" s="40" t="e">
        <f t="shared" si="7"/>
        <v>#REF!</v>
      </c>
      <c r="D45" s="49" t="e">
        <f t="shared" si="8"/>
        <v>#REF!</v>
      </c>
      <c r="E45" s="73"/>
      <c r="F45" s="49"/>
      <c r="G45" s="49"/>
      <c r="H45" s="11" t="e">
        <f t="shared" si="9"/>
        <v>#REF!</v>
      </c>
      <c r="I45" s="50" t="e">
        <f t="shared" si="10"/>
        <v>#REF!</v>
      </c>
    </row>
    <row r="46" spans="1:12">
      <c r="A46" s="202"/>
      <c r="B46" s="26">
        <v>20000</v>
      </c>
      <c r="C46" s="55" t="e">
        <f t="shared" si="7"/>
        <v>#REF!</v>
      </c>
      <c r="D46" s="149" t="e">
        <f t="shared" si="8"/>
        <v>#REF!</v>
      </c>
      <c r="E46" s="146" t="e">
        <f>I32</f>
        <v>#REF!</v>
      </c>
      <c r="F46" s="56"/>
      <c r="G46" s="56"/>
      <c r="H46" s="76" t="e">
        <f t="shared" si="9"/>
        <v>#REF!</v>
      </c>
      <c r="I46" s="50" t="e">
        <f>ROUND(H46*E46,2)</f>
        <v>#REF!</v>
      </c>
    </row>
    <row r="47" spans="1:12" ht="16.5" thickBot="1">
      <c r="A47" s="28"/>
      <c r="B47" s="28"/>
      <c r="C47" s="51" t="s">
        <v>102</v>
      </c>
      <c r="D47" s="151"/>
      <c r="E47" s="151"/>
      <c r="F47" s="52"/>
      <c r="G47" s="52"/>
      <c r="H47" s="53"/>
      <c r="I47" s="54" t="e">
        <f>ROUND(SUM(I36:I46),2)</f>
        <v>#REF!</v>
      </c>
    </row>
    <row r="48" spans="1:12" ht="16.5" thickTop="1">
      <c r="C48" s="6"/>
      <c r="D48" s="4"/>
      <c r="E48" s="4"/>
      <c r="F48" s="4"/>
      <c r="G48" s="4"/>
      <c r="H48" s="11"/>
      <c r="I48" s="14"/>
    </row>
    <row r="49" spans="1:12">
      <c r="C49" s="17" t="s">
        <v>55</v>
      </c>
      <c r="D49" s="4"/>
      <c r="E49" s="4"/>
      <c r="F49" s="4"/>
      <c r="G49" s="4"/>
      <c r="H49" s="11"/>
      <c r="I49" s="15" t="e">
        <f>I21+I34+I47</f>
        <v>#REF!</v>
      </c>
      <c r="J49" s="4" t="e">
        <f>I49*1.4</f>
        <v>#REF!</v>
      </c>
    </row>
    <row r="50" spans="1:12" ht="16.5" thickBot="1">
      <c r="A50" s="103"/>
      <c r="B50" s="103"/>
      <c r="C50" s="104"/>
      <c r="D50" s="103"/>
      <c r="E50" s="103"/>
      <c r="F50" s="103"/>
      <c r="G50" s="103"/>
      <c r="H50" s="105"/>
      <c r="I50" s="107"/>
    </row>
    <row r="51" spans="1:12" ht="18" customHeight="1" thickTop="1">
      <c r="A51" s="201">
        <v>4</v>
      </c>
      <c r="C51" s="17" t="s">
        <v>50</v>
      </c>
      <c r="D51" s="4"/>
      <c r="E51" s="4"/>
      <c r="F51" s="4"/>
      <c r="G51" s="4"/>
      <c r="H51" s="11"/>
      <c r="I51" s="14"/>
    </row>
    <row r="52" spans="1:12">
      <c r="C52" s="6"/>
      <c r="D52" s="4"/>
      <c r="E52" s="4"/>
      <c r="F52" s="4"/>
      <c r="G52" s="4"/>
      <c r="H52" s="11"/>
      <c r="I52" s="14"/>
    </row>
    <row r="53" spans="1:12">
      <c r="C53" s="6" t="s">
        <v>99</v>
      </c>
      <c r="D53" s="4"/>
      <c r="E53" s="4"/>
      <c r="F53" s="4"/>
      <c r="G53" s="4"/>
      <c r="H53" s="147">
        <f>Presupuesto!E88</f>
        <v>0.13</v>
      </c>
      <c r="I53" s="14" t="e">
        <f>ROUND((Presupuesto!E88)*I49,2)</f>
        <v>#REF!</v>
      </c>
    </row>
    <row r="54" spans="1:12" hidden="1">
      <c r="C54" s="6" t="s">
        <v>100</v>
      </c>
      <c r="D54" s="4"/>
      <c r="E54" s="4"/>
      <c r="F54" s="4"/>
      <c r="G54" s="4"/>
      <c r="H54" s="147">
        <f>Presupuesto!E89</f>
        <v>0</v>
      </c>
      <c r="I54" s="14" t="e">
        <f>ROUND((Presupuesto!E89)*I49,2)</f>
        <v>#REF!</v>
      </c>
    </row>
    <row r="55" spans="1:12" ht="16.5" thickBot="1">
      <c r="A55" s="28"/>
      <c r="B55" s="28"/>
      <c r="C55" s="29" t="s">
        <v>53</v>
      </c>
      <c r="D55" s="28"/>
      <c r="E55" s="28"/>
      <c r="F55" s="28"/>
      <c r="G55" s="28"/>
      <c r="H55" s="30"/>
      <c r="I55" s="108" t="e">
        <f>SUM(I53:I54)</f>
        <v>#REF!</v>
      </c>
    </row>
    <row r="56" spans="1:12" ht="16.5" thickTop="1">
      <c r="A56" s="201">
        <v>5</v>
      </c>
      <c r="C56" s="17" t="s">
        <v>16</v>
      </c>
      <c r="D56" s="4"/>
      <c r="E56" s="4"/>
      <c r="F56" s="4"/>
      <c r="G56" s="4"/>
      <c r="H56" s="11"/>
      <c r="I56" s="14"/>
    </row>
    <row r="57" spans="1:12">
      <c r="C57" s="6"/>
      <c r="D57" s="4"/>
      <c r="E57" s="4"/>
      <c r="F57" s="4"/>
      <c r="G57" s="4"/>
      <c r="H57" s="11"/>
      <c r="I57" s="14"/>
    </row>
    <row r="58" spans="1:12">
      <c r="C58" s="6" t="s">
        <v>101</v>
      </c>
      <c r="D58" s="4"/>
      <c r="E58" s="4"/>
      <c r="F58" s="4"/>
      <c r="G58" s="4"/>
      <c r="H58" s="150">
        <f>Presupuesto!E90</f>
        <v>7.0000000000000007E-2</v>
      </c>
      <c r="I58" s="14" t="e">
        <f>ROUND((Presupuesto!E90)*(I49+I55),2)</f>
        <v>#REF!</v>
      </c>
    </row>
    <row r="59" spans="1:12" ht="16.5" thickBot="1">
      <c r="A59" s="28"/>
      <c r="B59" s="28"/>
      <c r="C59" s="29" t="s">
        <v>54</v>
      </c>
      <c r="D59" s="28"/>
      <c r="E59" s="28"/>
      <c r="F59" s="28"/>
      <c r="G59" s="28"/>
      <c r="H59" s="30"/>
      <c r="I59" s="108" t="e">
        <f>SUM(I58)</f>
        <v>#REF!</v>
      </c>
    </row>
    <row r="60" spans="1:12" ht="16.5" hidden="1" thickTop="1">
      <c r="C60" s="6"/>
      <c r="D60" s="4"/>
      <c r="E60" s="4"/>
      <c r="F60" s="4"/>
      <c r="G60" s="4"/>
      <c r="H60" s="11"/>
      <c r="I60" s="14"/>
    </row>
    <row r="61" spans="1:12" ht="16.5" hidden="1" thickTop="1">
      <c r="A61" s="8"/>
      <c r="B61" s="8"/>
      <c r="C61" s="109" t="s">
        <v>56</v>
      </c>
      <c r="D61" s="8"/>
      <c r="E61" s="8"/>
      <c r="F61" s="8"/>
      <c r="G61" s="8"/>
      <c r="H61" s="110"/>
      <c r="I61" s="112" t="e">
        <f>+I55+I59</f>
        <v>#REF!</v>
      </c>
    </row>
    <row r="62" spans="1:12" ht="17.25" hidden="1" thickTop="1" thickBot="1">
      <c r="A62" s="103"/>
      <c r="B62" s="103"/>
      <c r="C62" s="104"/>
      <c r="D62" s="103"/>
      <c r="E62" s="103"/>
      <c r="F62" s="103"/>
      <c r="G62" s="103"/>
      <c r="H62" s="105"/>
      <c r="I62" s="113"/>
    </row>
    <row r="63" spans="1:12" ht="16.5" thickTop="1">
      <c r="A63" s="8"/>
      <c r="B63" s="8"/>
      <c r="C63" s="32"/>
      <c r="D63" s="8"/>
      <c r="E63" s="8"/>
      <c r="F63" s="8"/>
      <c r="G63" s="8"/>
      <c r="H63" s="110"/>
      <c r="I63" s="114"/>
    </row>
    <row r="64" spans="1:12">
      <c r="C64" s="17" t="s">
        <v>57</v>
      </c>
      <c r="D64" s="4"/>
      <c r="E64" s="4"/>
      <c r="F64" s="4"/>
      <c r="G64" s="4"/>
      <c r="H64" s="11"/>
      <c r="I64" s="57" t="e">
        <f>TRUNC(I49+I61,2)</f>
        <v>#REF!</v>
      </c>
      <c r="J64" s="4">
        <v>9015.42</v>
      </c>
      <c r="L64" s="39"/>
    </row>
    <row r="65" spans="1:12" ht="16.5" thickBot="1">
      <c r="A65" s="5"/>
      <c r="B65" s="5"/>
      <c r="C65" s="33"/>
      <c r="D65" s="5"/>
      <c r="E65" s="5"/>
      <c r="F65" s="5"/>
      <c r="G65" s="5"/>
      <c r="H65" s="20"/>
      <c r="I65" s="35"/>
    </row>
    <row r="68" spans="1:12">
      <c r="L68" s="156"/>
    </row>
  </sheetData>
  <mergeCells count="8">
    <mergeCell ref="A1:I2"/>
    <mergeCell ref="A3:I3"/>
    <mergeCell ref="C4:H4"/>
    <mergeCell ref="A10:A11"/>
    <mergeCell ref="C10:C11"/>
    <mergeCell ref="D10:D11"/>
    <mergeCell ref="E10:E11"/>
    <mergeCell ref="I10:I11"/>
  </mergeCells>
  <printOptions horizontalCentered="1" verticalCentered="1"/>
  <pageMargins left="0.91" right="0.75" top="0.8" bottom="1" header="0" footer="0"/>
  <pageSetup scale="66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35"/>
  <dimension ref="A1:E24"/>
  <sheetViews>
    <sheetView workbookViewId="0">
      <selection activeCell="G28" sqref="G28"/>
    </sheetView>
  </sheetViews>
  <sheetFormatPr baseColWidth="10" defaultColWidth="11.42578125" defaultRowHeight="12.75"/>
  <cols>
    <col min="1" max="1" width="19.7109375" customWidth="1"/>
    <col min="2" max="2" width="16" customWidth="1"/>
    <col min="3" max="3" width="13.85546875" customWidth="1"/>
    <col min="4" max="4" width="14.42578125" customWidth="1"/>
    <col min="5" max="5" width="33.85546875" customWidth="1"/>
  </cols>
  <sheetData>
    <row r="1" spans="1:5">
      <c r="A1" s="220" t="s">
        <v>175</v>
      </c>
      <c r="B1" s="220" t="s">
        <v>176</v>
      </c>
      <c r="C1" s="220" t="s">
        <v>177</v>
      </c>
      <c r="D1" s="220" t="s">
        <v>178</v>
      </c>
      <c r="E1" s="220" t="s">
        <v>179</v>
      </c>
    </row>
    <row r="2" spans="1:5">
      <c r="A2" s="219" t="e">
        <f>'bordillo de 15x5'!C13</f>
        <v>#REF!</v>
      </c>
      <c r="B2">
        <f>'bordillo de 15x5'!E13</f>
        <v>7.4999999999999997E-2</v>
      </c>
      <c r="C2" s="80" t="e">
        <f>Presupuesto!#REF!+Presupuesto!#REF!</f>
        <v>#REF!</v>
      </c>
      <c r="D2" s="80" t="e">
        <f>B2*C2</f>
        <v>#REF!</v>
      </c>
      <c r="E2" t="str">
        <f>'bordillo de 15x5'!$C$6</f>
        <v>BORDILLO DE 15X5 CM</v>
      </c>
    </row>
    <row r="3" spans="1:5">
      <c r="A3" s="219" t="e">
        <f>'bordillo de 15x5'!C14</f>
        <v>#REF!</v>
      </c>
      <c r="B3">
        <f>'bordillo de 15x5'!E14</f>
        <v>1.2800000000000001E-2</v>
      </c>
      <c r="C3" s="80" t="e">
        <f>Presupuesto!#REF!+Presupuesto!#REF!</f>
        <v>#REF!</v>
      </c>
      <c r="D3" s="80" t="e">
        <f t="shared" ref="D3:D20" si="0">B3*C3</f>
        <v>#REF!</v>
      </c>
      <c r="E3" t="str">
        <f>'bordillo de 15x5'!$C$6</f>
        <v>BORDILLO DE 15X5 CM</v>
      </c>
    </row>
    <row r="4" spans="1:5">
      <c r="A4" s="219" t="e">
        <f>'bordillo de 15x5'!C15</f>
        <v>#REF!</v>
      </c>
      <c r="B4">
        <f>'bordillo de 15x5'!E15</f>
        <v>1.2800000000000001E-2</v>
      </c>
      <c r="C4" s="80" t="e">
        <f>Presupuesto!#REF!+Presupuesto!#REF!</f>
        <v>#REF!</v>
      </c>
      <c r="D4" s="80" t="e">
        <f t="shared" si="0"/>
        <v>#REF!</v>
      </c>
      <c r="E4" t="str">
        <f>'bordillo de 15x5'!$C$6</f>
        <v>BORDILLO DE 15X5 CM</v>
      </c>
    </row>
    <row r="5" spans="1:5">
      <c r="A5" s="219" t="e">
        <f>'bordillo de 15x5'!C16</f>
        <v>#REF!</v>
      </c>
      <c r="B5">
        <f>'bordillo de 15x5'!E16</f>
        <v>8.8000000000000005E-3</v>
      </c>
      <c r="C5" s="80" t="e">
        <f>Presupuesto!#REF!+Presupuesto!#REF!</f>
        <v>#REF!</v>
      </c>
      <c r="D5" s="80" t="e">
        <f t="shared" si="0"/>
        <v>#REF!</v>
      </c>
      <c r="E5" t="str">
        <f>'bordillo de 15x5'!$C$6</f>
        <v>BORDILLO DE 15X5 CM</v>
      </c>
    </row>
    <row r="6" spans="1:5">
      <c r="A6" s="219" t="e">
        <f>'bordillo de 15x5'!C17</f>
        <v>#REF!</v>
      </c>
      <c r="B6">
        <f>'bordillo de 15x5'!E17</f>
        <v>5.6000000000000001E-2</v>
      </c>
      <c r="C6" s="80" t="e">
        <f>Presupuesto!#REF!+Presupuesto!#REF!</f>
        <v>#REF!</v>
      </c>
      <c r="D6" s="80" t="e">
        <f t="shared" si="0"/>
        <v>#REF!</v>
      </c>
      <c r="E6" t="str">
        <f>'bordillo de 15x5'!$C$6</f>
        <v>BORDILLO DE 15X5 CM</v>
      </c>
    </row>
    <row r="7" spans="1:5">
      <c r="A7" s="219" t="e">
        <f>'bordillo de 15x5'!C18</f>
        <v>#REF!</v>
      </c>
      <c r="B7">
        <f>'bordillo de 15x5'!E18</f>
        <v>1.3959999999999999</v>
      </c>
      <c r="C7" s="80" t="e">
        <f>Presupuesto!#REF!+Presupuesto!#REF!</f>
        <v>#REF!</v>
      </c>
      <c r="D7" s="80" t="e">
        <f t="shared" si="0"/>
        <v>#REF!</v>
      </c>
      <c r="E7" t="str">
        <f>'bordillo de 15x5'!$C$6</f>
        <v>BORDILLO DE 15X5 CM</v>
      </c>
    </row>
    <row r="8" spans="1:5">
      <c r="A8" s="219" t="e">
        <f>'concreto de 210 kg-cm'!C13</f>
        <v>#REF!</v>
      </c>
      <c r="B8">
        <f>'concreto de 210 kg-cm'!E13</f>
        <v>23.32</v>
      </c>
      <c r="C8" s="221" t="e">
        <f>Presupuesto!#REF!+Presupuesto!#REF!</f>
        <v>#REF!</v>
      </c>
      <c r="D8" s="80" t="e">
        <f t="shared" si="0"/>
        <v>#REF!</v>
      </c>
      <c r="E8" t="str">
        <f>'concreto de 210 kg-cm'!$C$6</f>
        <v>CONCRETO DE 210 KG/CM</v>
      </c>
    </row>
    <row r="9" spans="1:5">
      <c r="A9" s="219" t="e">
        <f>'concreto de 210 kg-cm'!C14</f>
        <v>#REF!</v>
      </c>
      <c r="B9">
        <f>'concreto de 210 kg-cm'!E14</f>
        <v>0.55200000000000005</v>
      </c>
      <c r="C9" s="221" t="e">
        <f>Presupuesto!#REF!+Presupuesto!#REF!</f>
        <v>#REF!</v>
      </c>
      <c r="D9" s="80" t="e">
        <f t="shared" si="0"/>
        <v>#REF!</v>
      </c>
      <c r="E9" t="str">
        <f>'concreto de 210 kg-cm'!$C$6</f>
        <v>CONCRETO DE 210 KG/CM</v>
      </c>
    </row>
    <row r="10" spans="1:5">
      <c r="A10" s="219" t="e">
        <f>'concreto de 210 kg-cm'!C15</f>
        <v>#REF!</v>
      </c>
      <c r="B10">
        <f>'concreto de 210 kg-cm'!E15</f>
        <v>0.55200000000000005</v>
      </c>
      <c r="C10" s="221" t="e">
        <f>Presupuesto!#REF!+Presupuesto!#REF!</f>
        <v>#REF!</v>
      </c>
      <c r="D10" s="80" t="e">
        <f t="shared" si="0"/>
        <v>#REF!</v>
      </c>
      <c r="E10" t="str">
        <f>'concreto de 210 kg-cm'!$C$6</f>
        <v>CONCRETO DE 210 KG/CM</v>
      </c>
    </row>
    <row r="11" spans="1:5">
      <c r="A11" s="219" t="e">
        <f>'concreto de 210 kg-cm'!C16</f>
        <v>#REF!</v>
      </c>
      <c r="B11">
        <f>'concreto de 210 kg-cm'!E16</f>
        <v>9.83</v>
      </c>
      <c r="C11" s="221" t="e">
        <f>Presupuesto!#REF!+Presupuesto!#REF!</f>
        <v>#REF!</v>
      </c>
      <c r="D11" s="80" t="e">
        <f t="shared" si="0"/>
        <v>#REF!</v>
      </c>
      <c r="E11" t="str">
        <f>'concreto de 210 kg-cm'!$C$6</f>
        <v>CONCRETO DE 210 KG/CM</v>
      </c>
    </row>
    <row r="12" spans="1:5">
      <c r="A12" s="219" t="e">
        <f>'concreto de 210 kg-cm'!C17</f>
        <v>#REF!</v>
      </c>
      <c r="B12">
        <f>'concreto de 210 kg-cm'!E17</f>
        <v>4</v>
      </c>
      <c r="C12" s="221" t="e">
        <f>Presupuesto!#REF!+Presupuesto!#REF!</f>
        <v>#REF!</v>
      </c>
      <c r="D12" s="80" t="e">
        <f t="shared" si="0"/>
        <v>#REF!</v>
      </c>
      <c r="E12" t="str">
        <f>'concreto de 210 kg-cm'!$C$6</f>
        <v>CONCRETO DE 210 KG/CM</v>
      </c>
    </row>
    <row r="13" spans="1:5">
      <c r="A13" s="219" t="e">
        <f>'concreto de 210 kg-cm'!C18</f>
        <v>#REF!</v>
      </c>
      <c r="B13">
        <f>'concreto de 210 kg-cm'!E18</f>
        <v>5.2</v>
      </c>
      <c r="C13" s="221" t="e">
        <f>Presupuesto!#REF!+Presupuesto!#REF!</f>
        <v>#REF!</v>
      </c>
      <c r="D13" s="80" t="e">
        <f t="shared" si="0"/>
        <v>#REF!</v>
      </c>
      <c r="E13" t="str">
        <f>'concreto de 210 kg-cm'!$C$6</f>
        <v>CONCRETO DE 210 KG/CM</v>
      </c>
    </row>
    <row r="14" spans="1:5">
      <c r="A14" s="219" t="e">
        <f>#REF!</f>
        <v>#REF!</v>
      </c>
      <c r="B14" t="e">
        <f>#REF!</f>
        <v>#REF!</v>
      </c>
      <c r="C14" s="221" t="e">
        <f>Presupuesto!#REF!</f>
        <v>#REF!</v>
      </c>
      <c r="D14" s="80" t="e">
        <f t="shared" si="0"/>
        <v>#REF!</v>
      </c>
      <c r="E14" s="80" t="e">
        <f>#REF!</f>
        <v>#REF!</v>
      </c>
    </row>
    <row r="15" spans="1:5">
      <c r="A15" s="219" t="e">
        <f>#REF!</f>
        <v>#REF!</v>
      </c>
      <c r="B15" t="e">
        <f>#REF!</f>
        <v>#REF!</v>
      </c>
      <c r="C15" s="221" t="e">
        <f>Presupuesto!#REF!</f>
        <v>#REF!</v>
      </c>
      <c r="D15" s="80" t="e">
        <f t="shared" si="0"/>
        <v>#REF!</v>
      </c>
      <c r="E15" s="80" t="e">
        <f>#REF!</f>
        <v>#REF!</v>
      </c>
    </row>
    <row r="16" spans="1:5">
      <c r="A16" s="219" t="e">
        <f>#REF!</f>
        <v>#REF!</v>
      </c>
      <c r="B16" t="e">
        <f>#REF!</f>
        <v>#REF!</v>
      </c>
      <c r="C16" s="221" t="e">
        <f>Presupuesto!#REF!</f>
        <v>#REF!</v>
      </c>
      <c r="D16" s="80" t="e">
        <f t="shared" si="0"/>
        <v>#REF!</v>
      </c>
      <c r="E16" s="80" t="e">
        <f>#REF!</f>
        <v>#REF!</v>
      </c>
    </row>
    <row r="17" spans="1:5">
      <c r="A17" s="219" t="e">
        <f>#REF!</f>
        <v>#REF!</v>
      </c>
      <c r="B17" t="e">
        <f>#REF!</f>
        <v>#REF!</v>
      </c>
      <c r="C17" s="221" t="e">
        <f>Presupuesto!#REF!</f>
        <v>#REF!</v>
      </c>
      <c r="D17" s="80" t="e">
        <f t="shared" si="0"/>
        <v>#REF!</v>
      </c>
      <c r="E17" s="80" t="e">
        <f>#REF!</f>
        <v>#REF!</v>
      </c>
    </row>
    <row r="18" spans="1:5">
      <c r="A18" s="219" t="e">
        <f>#REF!</f>
        <v>#REF!</v>
      </c>
      <c r="B18" t="e">
        <f>#REF!</f>
        <v>#REF!</v>
      </c>
      <c r="C18" s="221" t="e">
        <f>Presupuesto!#REF!</f>
        <v>#REF!</v>
      </c>
      <c r="D18" s="80" t="e">
        <f t="shared" si="0"/>
        <v>#REF!</v>
      </c>
      <c r="E18" s="80" t="e">
        <f>#REF!</f>
        <v>#REF!</v>
      </c>
    </row>
    <row r="19" spans="1:5">
      <c r="A19" s="219" t="e">
        <f>#REF!</f>
        <v>#REF!</v>
      </c>
      <c r="B19" t="e">
        <f>#REF!</f>
        <v>#REF!</v>
      </c>
      <c r="C19" s="221" t="e">
        <f>Presupuesto!#REF!</f>
        <v>#REF!</v>
      </c>
      <c r="D19" s="80" t="e">
        <f t="shared" si="0"/>
        <v>#REF!</v>
      </c>
      <c r="E19" s="80" t="e">
        <f>#REF!</f>
        <v>#REF!</v>
      </c>
    </row>
    <row r="20" spans="1:5">
      <c r="A20" s="219" t="e">
        <f>#REF!</f>
        <v>#REF!</v>
      </c>
      <c r="B20" t="e">
        <f>#REF!</f>
        <v>#REF!</v>
      </c>
      <c r="C20" s="221" t="e">
        <f>Presupuesto!#REF!</f>
        <v>#REF!</v>
      </c>
      <c r="D20" s="80" t="e">
        <f t="shared" si="0"/>
        <v>#REF!</v>
      </c>
      <c r="E20" s="80" t="e">
        <f>#REF!</f>
        <v>#REF!</v>
      </c>
    </row>
    <row r="21" spans="1:5">
      <c r="A21" s="219"/>
    </row>
    <row r="22" spans="1:5">
      <c r="A22" s="219"/>
    </row>
    <row r="23" spans="1:5">
      <c r="A23" s="219"/>
    </row>
    <row r="24" spans="1:5">
      <c r="A24" s="219"/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36"/>
  <dimension ref="A1:H25"/>
  <sheetViews>
    <sheetView topLeftCell="A2" workbookViewId="0">
      <selection activeCell="F5" sqref="F5"/>
    </sheetView>
  </sheetViews>
  <sheetFormatPr baseColWidth="10" defaultColWidth="11.42578125" defaultRowHeight="12.75"/>
  <cols>
    <col min="1" max="1" width="19" customWidth="1"/>
    <col min="2" max="3" width="29.85546875" customWidth="1"/>
    <col min="4" max="4" width="35" customWidth="1"/>
    <col min="5" max="5" width="13.140625" bestFit="1" customWidth="1"/>
    <col min="7" max="7" width="18.140625" customWidth="1"/>
    <col min="8" max="8" width="17.5703125" customWidth="1"/>
  </cols>
  <sheetData>
    <row r="1" spans="1:8" hidden="1">
      <c r="A1" s="222" t="s">
        <v>182</v>
      </c>
      <c r="B1" s="222" t="s">
        <v>183</v>
      </c>
    </row>
    <row r="2" spans="1:8">
      <c r="A2" s="222" t="s">
        <v>180</v>
      </c>
      <c r="B2" t="s">
        <v>160</v>
      </c>
      <c r="C2" t="s">
        <v>152</v>
      </c>
      <c r="D2" t="s">
        <v>158</v>
      </c>
      <c r="E2" t="s">
        <v>181</v>
      </c>
      <c r="G2" t="s">
        <v>184</v>
      </c>
      <c r="H2" t="s">
        <v>185</v>
      </c>
    </row>
    <row r="3" spans="1:8">
      <c r="A3" s="1" t="s">
        <v>27</v>
      </c>
      <c r="B3" s="80">
        <v>17.555472000000002</v>
      </c>
      <c r="C3" s="80">
        <v>20121.662</v>
      </c>
      <c r="D3" s="80">
        <v>298.66500000000002</v>
      </c>
      <c r="E3" s="80">
        <v>20437.882472000001</v>
      </c>
      <c r="G3" s="80">
        <f>(334.9*1000)/3.7856</f>
        <v>88466.821639898568</v>
      </c>
      <c r="H3" s="80">
        <f>GETPIVOTDATA("Total",$A$1,"Material","Agua")-G3</f>
        <v>-68028.93916789857</v>
      </c>
    </row>
    <row r="4" spans="1:8">
      <c r="A4" s="1" t="s">
        <v>92</v>
      </c>
      <c r="B4" s="80">
        <v>25.535232000000001</v>
      </c>
      <c r="C4" s="80">
        <v>476.29320000000007</v>
      </c>
      <c r="D4" s="80">
        <v>2.6892</v>
      </c>
      <c r="E4" s="80">
        <v>504.51763200000011</v>
      </c>
      <c r="G4" s="80">
        <v>535.82000000000005</v>
      </c>
      <c r="H4" s="80">
        <f>GETPIVOTDATA("Total",$A$1,"Material","Arena Comun")-G4</f>
        <v>-31.302367999999944</v>
      </c>
    </row>
    <row r="5" spans="1:8">
      <c r="A5" s="1" t="s">
        <v>109</v>
      </c>
      <c r="B5" s="80">
        <v>454.04834399999999</v>
      </c>
      <c r="C5" s="80">
        <v>8628.5</v>
      </c>
      <c r="D5" s="80">
        <v>37.0062</v>
      </c>
      <c r="E5" s="80">
        <v>9119.5545440000005</v>
      </c>
      <c r="G5" s="80">
        <v>4660.18</v>
      </c>
      <c r="H5" s="80">
        <f>GETPIVOTDATA("Total",$A$1,"Material","Cemento","Actividad","CONCRETO DE 210 KG/CM")-G5</f>
        <v>3968.3199999999997</v>
      </c>
    </row>
    <row r="6" spans="1:8">
      <c r="A6" s="1" t="s">
        <v>105</v>
      </c>
      <c r="B6" s="80">
        <v>111.71664000000001</v>
      </c>
      <c r="C6" s="80">
        <v>4486.8200000000006</v>
      </c>
      <c r="D6" s="80">
        <v>5.0580000000000007</v>
      </c>
      <c r="E6" s="80">
        <v>4603.5946400000003</v>
      </c>
    </row>
    <row r="7" spans="1:8">
      <c r="A7" s="1" t="s">
        <v>149</v>
      </c>
      <c r="B7" s="80">
        <v>25.535232000000001</v>
      </c>
      <c r="C7" s="80">
        <v>476.29320000000007</v>
      </c>
      <c r="D7" s="80"/>
      <c r="E7" s="80">
        <v>501.82843200000008</v>
      </c>
      <c r="G7" s="80">
        <v>534.03</v>
      </c>
      <c r="H7" s="80">
        <f>GETPIVOTDATA("Total",$A$1,"Material","Grava de Rio")-G7</f>
        <v>-32.201567999999895</v>
      </c>
    </row>
    <row r="8" spans="1:8">
      <c r="A8" s="1" t="s">
        <v>93</v>
      </c>
      <c r="B8" s="80">
        <v>2784.93624</v>
      </c>
      <c r="C8" s="80">
        <v>3451.4</v>
      </c>
      <c r="D8" s="80">
        <v>48.437999999999995</v>
      </c>
      <c r="E8" s="80">
        <v>6284.7742400000006</v>
      </c>
    </row>
    <row r="9" spans="1:8">
      <c r="A9" s="1" t="s">
        <v>37</v>
      </c>
      <c r="B9" s="80"/>
      <c r="C9" s="80"/>
      <c r="D9" s="80">
        <v>9.09</v>
      </c>
      <c r="E9" s="80">
        <v>9.09</v>
      </c>
      <c r="G9" s="80">
        <v>11.7</v>
      </c>
      <c r="H9" s="80">
        <f>GETPIVOTDATA("Total",$A$1,"Material","Piedra")-G9</f>
        <v>-2.6099999999999994</v>
      </c>
    </row>
    <row r="10" spans="1:8">
      <c r="A10" s="1" t="s">
        <v>145</v>
      </c>
      <c r="B10" s="80"/>
      <c r="C10" s="80"/>
      <c r="D10" s="80">
        <v>9</v>
      </c>
      <c r="E10" s="80">
        <v>9</v>
      </c>
    </row>
    <row r="11" spans="1:8">
      <c r="A11" s="1" t="s">
        <v>181</v>
      </c>
      <c r="B11" s="223">
        <v>3419.3271599999998</v>
      </c>
      <c r="C11" s="223">
        <v>37640.968400000005</v>
      </c>
      <c r="D11" s="223">
        <v>409.94639999999998</v>
      </c>
      <c r="E11" s="223">
        <v>41470.241959999999</v>
      </c>
    </row>
    <row r="13" spans="1:8">
      <c r="G13">
        <f>GETPIVOTDATA("Total",$A$1,"Material","Madera","Actividad","CONCRETO DE 210 KG/CM")*17.5</f>
        <v>60399.5</v>
      </c>
    </row>
    <row r="16" spans="1:8">
      <c r="A16" s="80" t="s">
        <v>180</v>
      </c>
      <c r="B16" s="80" t="s">
        <v>160</v>
      </c>
      <c r="C16" s="80" t="s">
        <v>152</v>
      </c>
      <c r="D16" s="80" t="s">
        <v>158</v>
      </c>
      <c r="E16" s="80" t="s">
        <v>181</v>
      </c>
      <c r="F16" s="80"/>
      <c r="G16" s="80" t="s">
        <v>184</v>
      </c>
      <c r="H16" s="80" t="s">
        <v>185</v>
      </c>
    </row>
    <row r="17" spans="1:8">
      <c r="A17" s="80" t="s">
        <v>27</v>
      </c>
      <c r="B17" s="80">
        <v>17.555472000000002</v>
      </c>
      <c r="C17" s="80">
        <v>20121.662</v>
      </c>
      <c r="D17" s="80">
        <v>298.66500000000002</v>
      </c>
      <c r="E17" s="80">
        <v>20437.882472000001</v>
      </c>
      <c r="F17" s="80"/>
      <c r="G17" s="80">
        <v>88466.821639898568</v>
      </c>
      <c r="H17" s="80">
        <v>-68028.93916789857</v>
      </c>
    </row>
    <row r="18" spans="1:8">
      <c r="A18" s="80" t="s">
        <v>92</v>
      </c>
      <c r="B18" s="80">
        <v>25.535232000000001</v>
      </c>
      <c r="C18" s="80">
        <v>476.29320000000007</v>
      </c>
      <c r="D18" s="80">
        <v>2.6892</v>
      </c>
      <c r="E18" s="80">
        <v>504.51763200000011</v>
      </c>
      <c r="F18" s="80"/>
      <c r="G18" s="80">
        <v>535.82000000000005</v>
      </c>
      <c r="H18" s="80">
        <v>-31.302367999999944</v>
      </c>
    </row>
    <row r="19" spans="1:8">
      <c r="A19" s="80" t="s">
        <v>109</v>
      </c>
      <c r="B19" s="80">
        <v>454.04834399999999</v>
      </c>
      <c r="C19" s="80">
        <v>8628.5</v>
      </c>
      <c r="D19" s="80">
        <v>37.0062</v>
      </c>
      <c r="E19" s="80">
        <v>9119.5545440000005</v>
      </c>
      <c r="F19" s="80"/>
      <c r="G19" s="80">
        <v>4660.18</v>
      </c>
      <c r="H19" s="80">
        <v>3968.3199999999997</v>
      </c>
    </row>
    <row r="20" spans="1:8">
      <c r="A20" s="80" t="s">
        <v>105</v>
      </c>
      <c r="B20" s="80">
        <v>111.71664000000001</v>
      </c>
      <c r="C20" s="80">
        <v>4486.8200000000006</v>
      </c>
      <c r="D20" s="80">
        <v>5.0580000000000007</v>
      </c>
      <c r="E20" s="80">
        <v>4603.5946400000003</v>
      </c>
      <c r="F20" s="80"/>
      <c r="G20" s="80"/>
      <c r="H20" s="80"/>
    </row>
    <row r="21" spans="1:8">
      <c r="A21" s="80" t="s">
        <v>149</v>
      </c>
      <c r="B21" s="80">
        <v>25.535232000000001</v>
      </c>
      <c r="C21" s="80">
        <v>476.29320000000007</v>
      </c>
      <c r="D21" s="80"/>
      <c r="E21" s="80">
        <v>501.82843200000008</v>
      </c>
      <c r="F21" s="80"/>
      <c r="G21" s="80">
        <v>534.03</v>
      </c>
      <c r="H21" s="80">
        <v>-32.201567999999895</v>
      </c>
    </row>
    <row r="22" spans="1:8">
      <c r="A22" s="80" t="s">
        <v>93</v>
      </c>
      <c r="B22" s="80">
        <v>2784.93624</v>
      </c>
      <c r="C22" s="80">
        <v>3451.4</v>
      </c>
      <c r="D22" s="80">
        <v>48.437999999999995</v>
      </c>
      <c r="E22" s="80">
        <v>6284.7742400000006</v>
      </c>
      <c r="F22" s="80"/>
      <c r="G22" s="80"/>
      <c r="H22" s="80"/>
    </row>
    <row r="23" spans="1:8">
      <c r="A23" s="80" t="s">
        <v>37</v>
      </c>
      <c r="B23" s="80"/>
      <c r="C23" s="80"/>
      <c r="D23" s="80">
        <v>9.09</v>
      </c>
      <c r="E23" s="80">
        <v>9.09</v>
      </c>
      <c r="F23" s="80"/>
      <c r="G23" s="80">
        <v>11.7</v>
      </c>
      <c r="H23" s="80">
        <v>-2.6099999999999994</v>
      </c>
    </row>
    <row r="24" spans="1:8">
      <c r="A24" s="80" t="s">
        <v>145</v>
      </c>
      <c r="B24" s="80"/>
      <c r="C24" s="80"/>
      <c r="D24" s="80">
        <v>9</v>
      </c>
      <c r="E24" s="80">
        <v>9</v>
      </c>
      <c r="F24" s="80"/>
      <c r="G24" s="80"/>
      <c r="H24" s="80"/>
    </row>
    <row r="25" spans="1:8">
      <c r="A25" s="80" t="s">
        <v>181</v>
      </c>
      <c r="B25" s="80">
        <v>3419.3271599999998</v>
      </c>
      <c r="C25" s="80">
        <v>37640.968400000005</v>
      </c>
      <c r="D25" s="80">
        <v>409.94639999999998</v>
      </c>
      <c r="E25" s="80">
        <v>41470.241959999999</v>
      </c>
      <c r="F25" s="80"/>
      <c r="G25" s="80"/>
      <c r="H25" s="80"/>
    </row>
  </sheetData>
  <pageMargins left="0.7" right="0.7" top="0.75" bottom="0.75" header="0.3" footer="0.3"/>
  <pageSetup paperSize="9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37">
    <tabColor rgb="FFFFFF00"/>
    <pageSetUpPr fitToPage="1"/>
  </sheetPr>
  <dimension ref="A1:O68"/>
  <sheetViews>
    <sheetView showGridLines="0" showZeros="0" view="pageBreakPreview" zoomScale="80" zoomScaleNormal="75" zoomScaleSheetLayoutView="80" workbookViewId="0">
      <pane ySplit="11" topLeftCell="A37" activePane="bottomLeft" state="frozen"/>
      <selection activeCell="E26" sqref="E26"/>
      <selection pane="bottomLeft" activeCell="E25" sqref="E25"/>
    </sheetView>
  </sheetViews>
  <sheetFormatPr baseColWidth="10" defaultColWidth="9.140625" defaultRowHeight="15.75"/>
  <cols>
    <col min="1" max="1" width="14.85546875" style="4" customWidth="1"/>
    <col min="2" max="2" width="10.42578125" style="4" customWidth="1"/>
    <col min="3" max="3" width="44" style="40" customWidth="1"/>
    <col min="4" max="5" width="15.7109375" style="39" customWidth="1"/>
    <col min="6" max="6" width="15.7109375" style="39" hidden="1" customWidth="1"/>
    <col min="7" max="7" width="21.42578125" style="39" hidden="1" customWidth="1"/>
    <col min="8" max="8" width="18.140625" style="46" customWidth="1"/>
    <col min="9" max="9" width="15.7109375" style="39" customWidth="1"/>
    <col min="10" max="11" width="9.140625" style="4"/>
    <col min="12" max="12" width="21.28515625" style="4" bestFit="1" customWidth="1"/>
    <col min="13" max="16384" width="9.140625" style="4"/>
  </cols>
  <sheetData>
    <row r="1" spans="1:12" ht="15.75" customHeight="1">
      <c r="A1" s="322" t="s">
        <v>97</v>
      </c>
      <c r="B1" s="322"/>
      <c r="C1" s="322"/>
      <c r="D1" s="322"/>
      <c r="E1" s="322"/>
      <c r="F1" s="322"/>
      <c r="G1" s="322"/>
      <c r="H1" s="322"/>
      <c r="I1" s="322"/>
    </row>
    <row r="2" spans="1:12" ht="13.5" customHeight="1">
      <c r="A2" s="322"/>
      <c r="B2" s="322"/>
      <c r="C2" s="322"/>
      <c r="D2" s="322"/>
      <c r="E2" s="322"/>
      <c r="F2" s="322"/>
      <c r="G2" s="322"/>
      <c r="H2" s="322"/>
      <c r="I2" s="322"/>
    </row>
    <row r="3" spans="1:12" ht="13.5" customHeight="1">
      <c r="A3" s="323"/>
      <c r="B3" s="323"/>
      <c r="C3" s="323"/>
      <c r="D3" s="323"/>
      <c r="E3" s="323"/>
      <c r="F3" s="323"/>
      <c r="G3" s="323"/>
      <c r="H3" s="323"/>
      <c r="I3" s="323"/>
    </row>
    <row r="4" spans="1:12" ht="13.5" customHeight="1">
      <c r="A4" s="24"/>
      <c r="B4" s="22" t="e">
        <f>#REF!</f>
        <v>#REF!</v>
      </c>
      <c r="C4" s="324"/>
      <c r="D4" s="324"/>
      <c r="E4" s="324"/>
      <c r="F4" s="324"/>
      <c r="G4" s="324"/>
      <c r="H4" s="324"/>
      <c r="I4" s="38"/>
    </row>
    <row r="5" spans="1:12" ht="13.5" customHeight="1">
      <c r="A5" s="24"/>
      <c r="B5" s="22"/>
      <c r="C5" s="22">
        <f>IF(ISNA(VLOOKUP(B5,PRESUPUESTOS,2,FALSE)),0,VLOOKUP(B5,PRESUPUESTOS,2,FALSE))</f>
        <v>0</v>
      </c>
      <c r="D5" s="38"/>
      <c r="E5" s="38"/>
      <c r="F5" s="38"/>
      <c r="G5" s="38"/>
      <c r="H5" s="38"/>
      <c r="I5" s="38"/>
    </row>
    <row r="6" spans="1:12" ht="13.5" customHeight="1">
      <c r="A6" s="109" t="s">
        <v>43</v>
      </c>
      <c r="B6" s="16"/>
      <c r="C6" s="162" t="s">
        <v>160</v>
      </c>
      <c r="I6" s="81"/>
    </row>
    <row r="7" spans="1:12" ht="13.5" customHeight="1">
      <c r="A7" s="109" t="s">
        <v>112</v>
      </c>
      <c r="B7" s="162"/>
      <c r="C7" s="167" t="s">
        <v>8</v>
      </c>
      <c r="I7" s="81"/>
    </row>
    <row r="8" spans="1:12" ht="13.5" customHeight="1">
      <c r="A8" s="109" t="s">
        <v>113</v>
      </c>
      <c r="B8" s="162"/>
      <c r="C8" s="163">
        <v>1</v>
      </c>
      <c r="I8" s="81"/>
    </row>
    <row r="9" spans="1:12" ht="16.5" thickBot="1">
      <c r="A9" s="20"/>
      <c r="B9" s="5"/>
      <c r="C9" s="41"/>
      <c r="D9" s="42"/>
      <c r="E9" s="42"/>
      <c r="F9" s="42"/>
      <c r="G9" s="42"/>
      <c r="H9" s="20"/>
      <c r="I9" s="43"/>
    </row>
    <row r="10" spans="1:12" ht="15.75" customHeight="1">
      <c r="A10" s="325" t="s">
        <v>2</v>
      </c>
      <c r="C10" s="325" t="s">
        <v>3</v>
      </c>
      <c r="D10" s="325" t="s">
        <v>4</v>
      </c>
      <c r="E10" s="325" t="s">
        <v>5</v>
      </c>
      <c r="F10" s="215" t="s">
        <v>36</v>
      </c>
      <c r="G10" s="215" t="s">
        <v>26</v>
      </c>
      <c r="H10" s="13" t="s">
        <v>26</v>
      </c>
      <c r="I10" s="327" t="s">
        <v>124</v>
      </c>
    </row>
    <row r="11" spans="1:12">
      <c r="A11" s="326"/>
      <c r="B11" s="9"/>
      <c r="C11" s="326"/>
      <c r="D11" s="326"/>
      <c r="E11" s="326"/>
      <c r="F11" s="9" t="s">
        <v>76</v>
      </c>
      <c r="G11" s="9" t="s">
        <v>77</v>
      </c>
      <c r="H11" s="21" t="s">
        <v>123</v>
      </c>
      <c r="I11" s="328"/>
    </row>
    <row r="12" spans="1:12">
      <c r="A12" s="215">
        <v>1</v>
      </c>
      <c r="B12" s="72" t="s">
        <v>25</v>
      </c>
      <c r="C12" s="48" t="s">
        <v>9</v>
      </c>
      <c r="E12" s="68"/>
      <c r="H12" s="49"/>
    </row>
    <row r="13" spans="1:12">
      <c r="A13" s="215"/>
      <c r="B13" s="70">
        <v>2201</v>
      </c>
      <c r="C13" s="40" t="e">
        <f t="shared" ref="C13:C20" si="0">IF(ISNA(VLOOKUP(B13,CU_MATERIALES,2,FALSE)),0,VLOOKUP(B13,CU_MATERIALES,2,FALSE))</f>
        <v>#REF!</v>
      </c>
      <c r="D13" s="49" t="e">
        <f t="shared" ref="D13:D20" si="1">IF(ISNA(VLOOKUP(B13,CU_MATERIALES,3,FALSE)),0,VLOOKUP(B13,CU_MATERIALES,3,FALSE))</f>
        <v>#REF!</v>
      </c>
      <c r="E13" s="123">
        <v>0.2276</v>
      </c>
      <c r="F13" s="49"/>
      <c r="G13" s="49"/>
      <c r="H13" s="11" t="e">
        <f t="shared" ref="H13:H20" si="2">IF(ISNA(VLOOKUP(B13,CU_MATERIALES,3,FALSE)),0,VLOOKUP(B13,CU_MATERIALES,4,FALSE))</f>
        <v>#REF!</v>
      </c>
      <c r="I13" s="50" t="e">
        <f t="shared" ref="I13:I20" si="3">ROUND(H13*E13,2)</f>
        <v>#REF!</v>
      </c>
      <c r="K13" s="4">
        <f>0.15*0.15*1</f>
        <v>2.2499999999999999E-2</v>
      </c>
      <c r="L13" s="4">
        <f>K13*10</f>
        <v>0.22499999999999998</v>
      </c>
    </row>
    <row r="14" spans="1:12">
      <c r="A14" s="215"/>
      <c r="B14" s="70">
        <v>500</v>
      </c>
      <c r="C14" s="40" t="e">
        <f t="shared" si="0"/>
        <v>#REF!</v>
      </c>
      <c r="D14" s="49" t="e">
        <f t="shared" si="1"/>
        <v>#REF!</v>
      </c>
      <c r="E14" s="123">
        <v>1.2800000000000001E-2</v>
      </c>
      <c r="F14" s="49"/>
      <c r="G14" s="49"/>
      <c r="H14" s="11" t="e">
        <f t="shared" si="2"/>
        <v>#REF!</v>
      </c>
      <c r="I14" s="50" t="e">
        <f t="shared" si="3"/>
        <v>#REF!</v>
      </c>
      <c r="J14" s="4" t="s">
        <v>116</v>
      </c>
    </row>
    <row r="15" spans="1:12">
      <c r="A15" s="215"/>
      <c r="B15" s="70">
        <v>7000</v>
      </c>
      <c r="C15" s="40" t="e">
        <f t="shared" si="0"/>
        <v>#REF!</v>
      </c>
      <c r="D15" s="49" t="e">
        <f t="shared" si="1"/>
        <v>#REF!</v>
      </c>
      <c r="E15" s="123">
        <v>1.2800000000000001E-2</v>
      </c>
      <c r="F15" s="49"/>
      <c r="G15" s="49"/>
      <c r="H15" s="11" t="e">
        <f t="shared" si="2"/>
        <v>#REF!</v>
      </c>
      <c r="I15" s="50" t="e">
        <f t="shared" si="3"/>
        <v>#REF!</v>
      </c>
      <c r="J15" s="4" t="s">
        <v>117</v>
      </c>
    </row>
    <row r="16" spans="1:12">
      <c r="A16" s="215"/>
      <c r="B16" s="4">
        <v>200</v>
      </c>
      <c r="C16" s="40" t="e">
        <f t="shared" si="0"/>
        <v>#REF!</v>
      </c>
      <c r="D16" s="49" t="e">
        <f t="shared" si="1"/>
        <v>#REF!</v>
      </c>
      <c r="E16" s="123">
        <v>8.8000000000000005E-3</v>
      </c>
      <c r="F16" s="49"/>
      <c r="G16" s="49"/>
      <c r="H16" s="11" t="e">
        <f t="shared" si="2"/>
        <v>#REF!</v>
      </c>
      <c r="I16" s="50" t="e">
        <f t="shared" si="3"/>
        <v>#REF!</v>
      </c>
      <c r="J16" s="4" t="s">
        <v>118</v>
      </c>
    </row>
    <row r="17" spans="1:15">
      <c r="A17" s="215"/>
      <c r="B17" s="4">
        <v>2500</v>
      </c>
      <c r="C17" s="40" t="e">
        <f t="shared" si="0"/>
        <v>#REF!</v>
      </c>
      <c r="D17" s="49" t="e">
        <f t="shared" si="1"/>
        <v>#REF!</v>
      </c>
      <c r="E17" s="123">
        <v>5.6000000000000001E-2</v>
      </c>
      <c r="F17" s="49"/>
      <c r="G17" s="49"/>
      <c r="H17" s="11" t="e">
        <f t="shared" si="2"/>
        <v>#REF!</v>
      </c>
      <c r="I17" s="50" t="e">
        <f t="shared" si="3"/>
        <v>#REF!</v>
      </c>
      <c r="J17" s="4" t="s">
        <v>119</v>
      </c>
      <c r="O17" s="4">
        <f>9/0.3</f>
        <v>30</v>
      </c>
    </row>
    <row r="18" spans="1:15">
      <c r="A18" s="215"/>
      <c r="B18" s="4">
        <v>1000</v>
      </c>
      <c r="C18" s="40" t="e">
        <f t="shared" si="0"/>
        <v>#REF!</v>
      </c>
      <c r="D18" s="171" t="e">
        <f t="shared" si="1"/>
        <v>#REF!</v>
      </c>
      <c r="E18" s="123">
        <v>1.3959999999999999</v>
      </c>
      <c r="F18" s="49"/>
      <c r="G18" s="49"/>
      <c r="H18" s="11" t="e">
        <f t="shared" si="2"/>
        <v>#REF!</v>
      </c>
      <c r="I18" s="50" t="e">
        <f t="shared" si="3"/>
        <v>#REF!</v>
      </c>
      <c r="J18" s="4" t="s">
        <v>120</v>
      </c>
      <c r="O18" s="4">
        <f>148/10</f>
        <v>14.8</v>
      </c>
    </row>
    <row r="19" spans="1:15">
      <c r="A19" s="215"/>
      <c r="B19" s="70"/>
      <c r="C19" s="40" t="e">
        <f t="shared" si="0"/>
        <v>#REF!</v>
      </c>
      <c r="D19" s="49" t="e">
        <f t="shared" si="1"/>
        <v>#REF!</v>
      </c>
      <c r="E19" s="73"/>
      <c r="F19" s="49"/>
      <c r="G19" s="49"/>
      <c r="H19" s="11" t="e">
        <f t="shared" si="2"/>
        <v>#REF!</v>
      </c>
      <c r="I19" s="50" t="e">
        <f t="shared" si="3"/>
        <v>#REF!</v>
      </c>
    </row>
    <row r="20" spans="1:15">
      <c r="A20" s="215"/>
      <c r="B20" s="70"/>
      <c r="C20" s="40" t="e">
        <f t="shared" si="0"/>
        <v>#REF!</v>
      </c>
      <c r="D20" s="49" t="e">
        <f t="shared" si="1"/>
        <v>#REF!</v>
      </c>
      <c r="E20" s="73"/>
      <c r="F20" s="49"/>
      <c r="G20" s="49"/>
      <c r="H20" s="11" t="e">
        <f t="shared" si="2"/>
        <v>#REF!</v>
      </c>
      <c r="I20" s="50" t="e">
        <f t="shared" si="3"/>
        <v>#REF!</v>
      </c>
    </row>
    <row r="21" spans="1:15" ht="16.5" thickBot="1">
      <c r="A21" s="168"/>
      <c r="B21" s="28"/>
      <c r="C21" s="51" t="s">
        <v>95</v>
      </c>
      <c r="D21" s="52"/>
      <c r="E21" s="75"/>
      <c r="F21" s="52"/>
      <c r="G21" s="52"/>
      <c r="H21" s="30"/>
      <c r="I21" s="54" t="e">
        <f>ROUND(SUM(I13:I20),2)</f>
        <v>#REF!</v>
      </c>
    </row>
    <row r="22" spans="1:15" ht="16.5" thickTop="1">
      <c r="A22" s="215">
        <v>2</v>
      </c>
      <c r="B22" s="72" t="s">
        <v>25</v>
      </c>
      <c r="C22" s="48" t="s">
        <v>29</v>
      </c>
      <c r="E22" s="98"/>
      <c r="H22" s="11"/>
      <c r="I22" s="50"/>
    </row>
    <row r="23" spans="1:15">
      <c r="A23" s="215"/>
      <c r="B23" s="4">
        <v>4900</v>
      </c>
      <c r="C23" s="40" t="e">
        <f t="shared" ref="C23:C33" si="4">IF(ISNA(VLOOKUP(B23,CU_MANO_DE_OBRA,2,FALSE)),0,VLOOKUP(B23,CU_MANO_DE_OBRA,2,FALSE))</f>
        <v>#REF!</v>
      </c>
      <c r="D23" s="49" t="e">
        <f t="shared" ref="D23:D33" si="5">IF(ISNA(VLOOKUP(B23,CU_MANO_DE_OBRA,3,FALSE)),0,VLOOKUP(B23,CU_MANO_DE_OBRA,3,FALSE))</f>
        <v>#REF!</v>
      </c>
      <c r="E23" s="123">
        <v>1.2</v>
      </c>
      <c r="F23" s="49"/>
      <c r="G23" s="49"/>
      <c r="H23" s="11" t="e">
        <f t="shared" ref="H23:H33" si="6">IF(ISNA(VLOOKUP(B23,CU_MANO_DE_OBRA,3,FALSE)),0,VLOOKUP(B23,CU_MANO_DE_OBRA,4,FALSE))</f>
        <v>#REF!</v>
      </c>
      <c r="I23" s="50" t="e">
        <f t="shared" ref="I23:I33" si="7">ROUND(H23*E23,2)</f>
        <v>#REF!</v>
      </c>
      <c r="J23" s="4" t="s">
        <v>121</v>
      </c>
    </row>
    <row r="24" spans="1:15">
      <c r="A24" s="215"/>
      <c r="B24" s="4">
        <v>7600</v>
      </c>
      <c r="C24" s="40" t="e">
        <f t="shared" si="4"/>
        <v>#REF!</v>
      </c>
      <c r="D24" s="49" t="e">
        <f t="shared" si="5"/>
        <v>#REF!</v>
      </c>
      <c r="E24" s="123">
        <v>0.5</v>
      </c>
      <c r="F24" s="49"/>
      <c r="G24" s="49"/>
      <c r="H24" s="37" t="e">
        <f t="shared" si="6"/>
        <v>#REF!</v>
      </c>
      <c r="I24" s="50" t="e">
        <f t="shared" si="7"/>
        <v>#REF!</v>
      </c>
      <c r="J24" s="4" t="s">
        <v>121</v>
      </c>
    </row>
    <row r="25" spans="1:15">
      <c r="A25" s="215"/>
      <c r="B25" s="4">
        <v>7400</v>
      </c>
      <c r="C25" s="40" t="e">
        <f t="shared" si="4"/>
        <v>#REF!</v>
      </c>
      <c r="D25" s="49" t="e">
        <f t="shared" si="5"/>
        <v>#REF!</v>
      </c>
      <c r="E25" s="123">
        <v>1.2</v>
      </c>
      <c r="F25" s="49"/>
      <c r="G25" s="49"/>
      <c r="H25" s="37" t="e">
        <f t="shared" si="6"/>
        <v>#REF!</v>
      </c>
      <c r="I25" s="50" t="e">
        <f t="shared" si="7"/>
        <v>#REF!</v>
      </c>
      <c r="J25" s="4" t="s">
        <v>121</v>
      </c>
    </row>
    <row r="26" spans="1:15">
      <c r="A26" s="215"/>
      <c r="C26" s="40" t="e">
        <f t="shared" si="4"/>
        <v>#REF!</v>
      </c>
      <c r="D26" s="49" t="e">
        <f t="shared" si="5"/>
        <v>#REF!</v>
      </c>
      <c r="E26" s="98"/>
      <c r="F26" s="49"/>
      <c r="G26" s="49"/>
      <c r="H26" s="37" t="e">
        <f t="shared" si="6"/>
        <v>#REF!</v>
      </c>
      <c r="I26" s="50" t="e">
        <f t="shared" si="7"/>
        <v>#REF!</v>
      </c>
    </row>
    <row r="27" spans="1:15">
      <c r="A27" s="215"/>
      <c r="C27" s="40" t="e">
        <f t="shared" si="4"/>
        <v>#REF!</v>
      </c>
      <c r="D27" s="49" t="e">
        <f t="shared" si="5"/>
        <v>#REF!</v>
      </c>
      <c r="E27" s="73"/>
      <c r="F27" s="49"/>
      <c r="G27" s="49"/>
      <c r="H27" s="37" t="e">
        <f t="shared" si="6"/>
        <v>#REF!</v>
      </c>
      <c r="I27" s="50" t="e">
        <f t="shared" si="7"/>
        <v>#REF!</v>
      </c>
    </row>
    <row r="28" spans="1:15">
      <c r="A28" s="215"/>
      <c r="C28" s="40" t="e">
        <f t="shared" si="4"/>
        <v>#REF!</v>
      </c>
      <c r="D28" s="49" t="e">
        <f t="shared" si="5"/>
        <v>#REF!</v>
      </c>
      <c r="E28" s="73"/>
      <c r="F28" s="49"/>
      <c r="G28" s="49"/>
      <c r="H28" s="37" t="e">
        <f t="shared" si="6"/>
        <v>#REF!</v>
      </c>
      <c r="I28" s="50" t="e">
        <f t="shared" si="7"/>
        <v>#REF!</v>
      </c>
    </row>
    <row r="29" spans="1:15">
      <c r="A29" s="215"/>
      <c r="C29" s="40" t="e">
        <f t="shared" si="4"/>
        <v>#REF!</v>
      </c>
      <c r="D29" s="49" t="e">
        <f t="shared" si="5"/>
        <v>#REF!</v>
      </c>
      <c r="E29" s="73"/>
      <c r="F29" s="49"/>
      <c r="G29" s="49"/>
      <c r="H29" s="37" t="e">
        <f t="shared" si="6"/>
        <v>#REF!</v>
      </c>
      <c r="I29" s="50" t="e">
        <f t="shared" si="7"/>
        <v>#REF!</v>
      </c>
    </row>
    <row r="30" spans="1:15">
      <c r="A30" s="215"/>
      <c r="C30" s="40" t="e">
        <f t="shared" si="4"/>
        <v>#REF!</v>
      </c>
      <c r="D30" s="49" t="e">
        <f t="shared" si="5"/>
        <v>#REF!</v>
      </c>
      <c r="E30" s="73"/>
      <c r="F30" s="49"/>
      <c r="G30" s="49"/>
      <c r="H30" s="37" t="e">
        <f t="shared" si="6"/>
        <v>#REF!</v>
      </c>
      <c r="I30" s="50" t="e">
        <f t="shared" si="7"/>
        <v>#REF!</v>
      </c>
    </row>
    <row r="31" spans="1:15">
      <c r="A31" s="215"/>
      <c r="C31" s="40" t="e">
        <f t="shared" si="4"/>
        <v>#REF!</v>
      </c>
      <c r="D31" s="49" t="e">
        <f t="shared" si="5"/>
        <v>#REF!</v>
      </c>
      <c r="E31" s="73"/>
      <c r="F31" s="49"/>
      <c r="G31" s="49"/>
      <c r="H31" s="37" t="e">
        <f t="shared" si="6"/>
        <v>#REF!</v>
      </c>
      <c r="I31" s="50" t="e">
        <f t="shared" si="7"/>
        <v>#REF!</v>
      </c>
    </row>
    <row r="32" spans="1:15" ht="16.5" thickBot="1">
      <c r="A32" s="215"/>
      <c r="C32" s="51" t="s">
        <v>30</v>
      </c>
      <c r="D32" s="52"/>
      <c r="E32" s="75"/>
      <c r="F32" s="52"/>
      <c r="G32" s="52"/>
      <c r="H32" s="30"/>
      <c r="I32" s="54" t="e">
        <f>ROUND(SUM(I23:I31),2)</f>
        <v>#REF!</v>
      </c>
    </row>
    <row r="33" spans="1:10" ht="16.5" thickTop="1">
      <c r="A33" s="215"/>
      <c r="B33" s="26">
        <v>300</v>
      </c>
      <c r="C33" s="55" t="e">
        <f t="shared" si="4"/>
        <v>#REF!</v>
      </c>
      <c r="D33" s="149" t="e">
        <f t="shared" si="5"/>
        <v>#REF!</v>
      </c>
      <c r="E33" s="146" t="e">
        <f>SUM(I32)</f>
        <v>#REF!</v>
      </c>
      <c r="F33" s="56"/>
      <c r="G33" s="56"/>
      <c r="H33" s="76" t="e">
        <f t="shared" si="6"/>
        <v>#REF!</v>
      </c>
      <c r="I33" s="50" t="e">
        <f t="shared" si="7"/>
        <v>#REF!</v>
      </c>
    </row>
    <row r="34" spans="1:10" ht="16.5" thickBot="1">
      <c r="A34" s="168"/>
      <c r="B34" s="28"/>
      <c r="C34" s="51" t="s">
        <v>96</v>
      </c>
      <c r="D34" s="52"/>
      <c r="E34" s="75"/>
      <c r="F34" s="52"/>
      <c r="G34" s="52"/>
      <c r="H34" s="30"/>
      <c r="I34" s="54" t="e">
        <f>ROUND(SUM(I32:I33),2)</f>
        <v>#REF!</v>
      </c>
    </row>
    <row r="35" spans="1:10" ht="16.5" thickTop="1">
      <c r="A35" s="215">
        <v>3</v>
      </c>
      <c r="B35" s="72" t="s">
        <v>25</v>
      </c>
      <c r="C35" s="48" t="s">
        <v>98</v>
      </c>
      <c r="E35" s="73"/>
      <c r="H35" s="11"/>
      <c r="I35" s="50"/>
    </row>
    <row r="36" spans="1:10">
      <c r="A36" s="215"/>
      <c r="D36" s="49" t="e">
        <f t="shared" ref="D36:D46" si="8">IF(ISNA(VLOOKUP(B36,CU_EQUIPO,3,FALSE)),0,VLOOKUP(B36,CU_EQUIPO,3,FALSE))</f>
        <v>#REF!</v>
      </c>
      <c r="E36" s="123"/>
      <c r="F36" s="49"/>
      <c r="G36" s="49"/>
      <c r="H36" s="11" t="e">
        <f t="shared" ref="H36:H46" si="9">IF(ISNA(VLOOKUP(B36,CU_EQUIPO,3,FALSE)),0,VLOOKUP(B36,CU_EQUIPO,4,FALSE))</f>
        <v>#REF!</v>
      </c>
      <c r="I36" s="50" t="e">
        <f t="shared" ref="I36:I46" si="10">ROUND(H36*E36,2)</f>
        <v>#REF!</v>
      </c>
      <c r="J36" s="4" t="s">
        <v>122</v>
      </c>
    </row>
    <row r="37" spans="1:10">
      <c r="A37" s="215"/>
      <c r="D37" s="49" t="e">
        <f t="shared" si="8"/>
        <v>#REF!</v>
      </c>
      <c r="E37" s="123"/>
      <c r="F37" s="49"/>
      <c r="G37" s="49"/>
      <c r="H37" s="19" t="e">
        <f t="shared" si="9"/>
        <v>#REF!</v>
      </c>
      <c r="I37" s="50" t="e">
        <f t="shared" si="10"/>
        <v>#REF!</v>
      </c>
    </row>
    <row r="38" spans="1:10">
      <c r="A38" s="216"/>
      <c r="C38" s="40" t="e">
        <f t="shared" ref="C38:C46" si="11">IF(ISNA(VLOOKUP(B38,CU_EQUIPO,2,FALSE)),0,VLOOKUP(B38,CU_EQUIPO,2,FALSE))</f>
        <v>#REF!</v>
      </c>
      <c r="D38" s="49" t="e">
        <f t="shared" si="8"/>
        <v>#REF!</v>
      </c>
      <c r="E38" s="73"/>
      <c r="F38" s="49"/>
      <c r="G38" s="49"/>
      <c r="H38" s="19" t="e">
        <f t="shared" si="9"/>
        <v>#REF!</v>
      </c>
      <c r="I38" s="50" t="e">
        <f t="shared" si="10"/>
        <v>#REF!</v>
      </c>
    </row>
    <row r="39" spans="1:10">
      <c r="A39" s="216"/>
      <c r="C39" s="40" t="e">
        <f t="shared" si="11"/>
        <v>#REF!</v>
      </c>
      <c r="D39" s="49" t="e">
        <f t="shared" si="8"/>
        <v>#REF!</v>
      </c>
      <c r="E39" s="73"/>
      <c r="F39" s="49"/>
      <c r="G39" s="49"/>
      <c r="H39" s="11" t="e">
        <f t="shared" si="9"/>
        <v>#REF!</v>
      </c>
      <c r="I39" s="50" t="e">
        <f t="shared" si="10"/>
        <v>#REF!</v>
      </c>
    </row>
    <row r="40" spans="1:10">
      <c r="A40" s="216"/>
      <c r="C40" s="40" t="e">
        <f t="shared" si="11"/>
        <v>#REF!</v>
      </c>
      <c r="D40" s="49" t="e">
        <f t="shared" si="8"/>
        <v>#REF!</v>
      </c>
      <c r="E40" s="73"/>
      <c r="F40" s="49"/>
      <c r="G40" s="49"/>
      <c r="H40" s="11" t="e">
        <f t="shared" si="9"/>
        <v>#REF!</v>
      </c>
      <c r="I40" s="50" t="e">
        <f t="shared" si="10"/>
        <v>#REF!</v>
      </c>
    </row>
    <row r="41" spans="1:10">
      <c r="A41" s="216"/>
      <c r="C41" s="40" t="e">
        <f t="shared" si="11"/>
        <v>#REF!</v>
      </c>
      <c r="D41" s="49" t="e">
        <f t="shared" si="8"/>
        <v>#REF!</v>
      </c>
      <c r="E41" s="73"/>
      <c r="F41" s="49"/>
      <c r="G41" s="49"/>
      <c r="H41" s="11" t="e">
        <f t="shared" si="9"/>
        <v>#REF!</v>
      </c>
      <c r="I41" s="50" t="e">
        <f t="shared" si="10"/>
        <v>#REF!</v>
      </c>
    </row>
    <row r="42" spans="1:10">
      <c r="A42" s="216"/>
      <c r="C42" s="40" t="e">
        <f t="shared" si="11"/>
        <v>#REF!</v>
      </c>
      <c r="D42" s="49" t="e">
        <f t="shared" si="8"/>
        <v>#REF!</v>
      </c>
      <c r="E42" s="73"/>
      <c r="F42" s="49"/>
      <c r="G42" s="49"/>
      <c r="H42" s="11" t="e">
        <f t="shared" si="9"/>
        <v>#REF!</v>
      </c>
      <c r="I42" s="50" t="e">
        <f t="shared" si="10"/>
        <v>#REF!</v>
      </c>
    </row>
    <row r="43" spans="1:10">
      <c r="A43" s="216"/>
      <c r="C43" s="40" t="e">
        <f t="shared" si="11"/>
        <v>#REF!</v>
      </c>
      <c r="D43" s="49" t="e">
        <f t="shared" si="8"/>
        <v>#REF!</v>
      </c>
      <c r="E43" s="73"/>
      <c r="F43" s="49"/>
      <c r="G43" s="49"/>
      <c r="H43" s="11" t="e">
        <f t="shared" si="9"/>
        <v>#REF!</v>
      </c>
      <c r="I43" s="50" t="e">
        <f t="shared" si="10"/>
        <v>#REF!</v>
      </c>
    </row>
    <row r="44" spans="1:10">
      <c r="A44" s="216"/>
      <c r="C44" s="40" t="e">
        <f t="shared" si="11"/>
        <v>#REF!</v>
      </c>
      <c r="D44" s="49" t="e">
        <f t="shared" si="8"/>
        <v>#REF!</v>
      </c>
      <c r="E44" s="73"/>
      <c r="F44" s="49"/>
      <c r="G44" s="49"/>
      <c r="H44" s="11" t="e">
        <f t="shared" si="9"/>
        <v>#REF!</v>
      </c>
      <c r="I44" s="50" t="e">
        <f t="shared" si="10"/>
        <v>#REF!</v>
      </c>
    </row>
    <row r="45" spans="1:10">
      <c r="A45" s="216"/>
      <c r="C45" s="40" t="e">
        <f t="shared" si="11"/>
        <v>#REF!</v>
      </c>
      <c r="D45" s="49" t="e">
        <f t="shared" si="8"/>
        <v>#REF!</v>
      </c>
      <c r="E45" s="73"/>
      <c r="F45" s="49"/>
      <c r="G45" s="49"/>
      <c r="H45" s="11" t="e">
        <f t="shared" si="9"/>
        <v>#REF!</v>
      </c>
      <c r="I45" s="50" t="e">
        <f t="shared" si="10"/>
        <v>#REF!</v>
      </c>
    </row>
    <row r="46" spans="1:10">
      <c r="A46" s="216"/>
      <c r="B46" s="26">
        <v>20000</v>
      </c>
      <c r="C46" s="55" t="e">
        <f t="shared" si="11"/>
        <v>#REF!</v>
      </c>
      <c r="D46" s="149" t="e">
        <f t="shared" si="8"/>
        <v>#REF!</v>
      </c>
      <c r="E46" s="146" t="e">
        <f>I32</f>
        <v>#REF!</v>
      </c>
      <c r="F46" s="56"/>
      <c r="G46" s="56"/>
      <c r="H46" s="76" t="e">
        <f t="shared" si="9"/>
        <v>#REF!</v>
      </c>
      <c r="I46" s="50" t="e">
        <f t="shared" si="10"/>
        <v>#REF!</v>
      </c>
    </row>
    <row r="47" spans="1:10" ht="16.5" thickBot="1">
      <c r="A47" s="28"/>
      <c r="B47" s="28"/>
      <c r="C47" s="51" t="s">
        <v>102</v>
      </c>
      <c r="D47" s="151"/>
      <c r="E47" s="151"/>
      <c r="F47" s="52"/>
      <c r="G47" s="52"/>
      <c r="H47" s="53"/>
      <c r="I47" s="54" t="e">
        <f>ROUND(SUM(I36:I46),2)</f>
        <v>#REF!</v>
      </c>
    </row>
    <row r="48" spans="1:10" ht="16.5" thickTop="1">
      <c r="C48" s="6"/>
      <c r="D48" s="4"/>
      <c r="E48" s="4"/>
      <c r="F48" s="4"/>
      <c r="G48" s="4"/>
      <c r="H48" s="11"/>
      <c r="I48" s="14"/>
    </row>
    <row r="49" spans="1:12">
      <c r="C49" s="17" t="s">
        <v>55</v>
      </c>
      <c r="D49" s="4"/>
      <c r="E49" s="4"/>
      <c r="F49" s="4"/>
      <c r="G49" s="4"/>
      <c r="H49" s="11"/>
      <c r="I49" s="15" t="e">
        <f>I21+I34+I47</f>
        <v>#REF!</v>
      </c>
      <c r="J49" s="4" t="e">
        <f>I49*1.4</f>
        <v>#REF!</v>
      </c>
    </row>
    <row r="50" spans="1:12" ht="16.5" thickBot="1">
      <c r="A50" s="103"/>
      <c r="B50" s="103"/>
      <c r="C50" s="104"/>
      <c r="D50" s="103"/>
      <c r="E50" s="103"/>
      <c r="F50" s="103"/>
      <c r="G50" s="103"/>
      <c r="H50" s="105"/>
      <c r="I50" s="107"/>
    </row>
    <row r="51" spans="1:12" ht="18" customHeight="1" thickTop="1">
      <c r="A51" s="215">
        <v>4</v>
      </c>
      <c r="C51" s="17" t="s">
        <v>50</v>
      </c>
      <c r="D51" s="4"/>
      <c r="E51" s="4"/>
      <c r="F51" s="4"/>
      <c r="G51" s="4"/>
      <c r="H51" s="11"/>
      <c r="I51" s="14"/>
    </row>
    <row r="52" spans="1:12">
      <c r="C52" s="6"/>
      <c r="D52" s="4"/>
      <c r="E52" s="4"/>
      <c r="F52" s="4"/>
      <c r="G52" s="4"/>
      <c r="H52" s="11"/>
      <c r="I52" s="14"/>
    </row>
    <row r="53" spans="1:12">
      <c r="C53" s="6" t="s">
        <v>99</v>
      </c>
      <c r="D53" s="4"/>
      <c r="E53" s="4"/>
      <c r="F53" s="4"/>
      <c r="G53" s="4"/>
      <c r="H53" s="147">
        <f>Presupuesto!E88</f>
        <v>0.13</v>
      </c>
      <c r="I53" s="14" t="e">
        <f>ROUND((Presupuesto!E88)*I49,2)</f>
        <v>#REF!</v>
      </c>
    </row>
    <row r="54" spans="1:12" hidden="1">
      <c r="C54" s="6" t="s">
        <v>100</v>
      </c>
      <c r="D54" s="4"/>
      <c r="E54" s="4"/>
      <c r="F54" s="4"/>
      <c r="G54" s="4"/>
      <c r="H54" s="147">
        <f>Presupuesto!E89</f>
        <v>0</v>
      </c>
      <c r="I54" s="14" t="e">
        <f>ROUND((Presupuesto!E89)*I49,2)</f>
        <v>#REF!</v>
      </c>
    </row>
    <row r="55" spans="1:12" ht="16.5" thickBot="1">
      <c r="A55" s="28"/>
      <c r="B55" s="28"/>
      <c r="C55" s="29" t="s">
        <v>53</v>
      </c>
      <c r="D55" s="28"/>
      <c r="E55" s="28"/>
      <c r="F55" s="28"/>
      <c r="G55" s="28"/>
      <c r="H55" s="30"/>
      <c r="I55" s="108" t="e">
        <f>SUM(I53:I54)</f>
        <v>#REF!</v>
      </c>
    </row>
    <row r="56" spans="1:12" ht="16.5" thickTop="1">
      <c r="A56" s="215">
        <v>5</v>
      </c>
      <c r="C56" s="17" t="s">
        <v>16</v>
      </c>
      <c r="D56" s="4"/>
      <c r="E56" s="4"/>
      <c r="F56" s="4"/>
      <c r="G56" s="4"/>
      <c r="H56" s="11"/>
      <c r="I56" s="14"/>
    </row>
    <row r="57" spans="1:12">
      <c r="C57" s="6"/>
      <c r="D57" s="4"/>
      <c r="E57" s="4"/>
      <c r="F57" s="4"/>
      <c r="G57" s="4"/>
      <c r="H57" s="11"/>
      <c r="I57" s="14"/>
    </row>
    <row r="58" spans="1:12">
      <c r="C58" s="6" t="s">
        <v>101</v>
      </c>
      <c r="D58" s="4"/>
      <c r="E58" s="4"/>
      <c r="F58" s="4"/>
      <c r="G58" s="4"/>
      <c r="H58" s="150">
        <f>Presupuesto!E90</f>
        <v>7.0000000000000007E-2</v>
      </c>
      <c r="I58" s="14" t="e">
        <f>ROUND((Presupuesto!E90)*(I49+I55),2)</f>
        <v>#REF!</v>
      </c>
    </row>
    <row r="59" spans="1:12" ht="16.5" thickBot="1">
      <c r="A59" s="28"/>
      <c r="B59" s="28"/>
      <c r="C59" s="29" t="s">
        <v>54</v>
      </c>
      <c r="D59" s="28"/>
      <c r="E59" s="28"/>
      <c r="F59" s="28"/>
      <c r="G59" s="28"/>
      <c r="H59" s="30"/>
      <c r="I59" s="108" t="e">
        <f>SUM(I58)</f>
        <v>#REF!</v>
      </c>
    </row>
    <row r="60" spans="1:12" ht="16.5" hidden="1" thickTop="1">
      <c r="C60" s="6"/>
      <c r="D60" s="4"/>
      <c r="E60" s="4"/>
      <c r="F60" s="4"/>
      <c r="G60" s="4"/>
      <c r="H60" s="11"/>
      <c r="I60" s="14"/>
    </row>
    <row r="61" spans="1:12" ht="16.5" hidden="1" thickTop="1">
      <c r="A61" s="8"/>
      <c r="B61" s="8"/>
      <c r="C61" s="109" t="s">
        <v>56</v>
      </c>
      <c r="D61" s="8"/>
      <c r="E61" s="8"/>
      <c r="F61" s="8"/>
      <c r="G61" s="8"/>
      <c r="H61" s="110"/>
      <c r="I61" s="112" t="e">
        <f>+I55+I59</f>
        <v>#REF!</v>
      </c>
    </row>
    <row r="62" spans="1:12" ht="17.25" hidden="1" thickTop="1" thickBot="1">
      <c r="A62" s="103"/>
      <c r="B62" s="103"/>
      <c r="C62" s="104"/>
      <c r="D62" s="103"/>
      <c r="E62" s="103"/>
      <c r="F62" s="103"/>
      <c r="G62" s="103"/>
      <c r="H62" s="105"/>
      <c r="I62" s="113"/>
    </row>
    <row r="63" spans="1:12" ht="16.5" thickTop="1">
      <c r="A63" s="8"/>
      <c r="B63" s="8"/>
      <c r="C63" s="32"/>
      <c r="D63" s="8"/>
      <c r="E63" s="8"/>
      <c r="F63" s="8"/>
      <c r="G63" s="8"/>
      <c r="H63" s="110"/>
      <c r="I63" s="114"/>
    </row>
    <row r="64" spans="1:12">
      <c r="C64" s="17" t="s">
        <v>57</v>
      </c>
      <c r="D64" s="4"/>
      <c r="E64" s="4"/>
      <c r="F64" s="4"/>
      <c r="G64" s="4"/>
      <c r="H64" s="11"/>
      <c r="I64" s="57" t="e">
        <f>TRUNC(I49+I61,2)</f>
        <v>#REF!</v>
      </c>
      <c r="J64" s="4">
        <v>9015.42</v>
      </c>
      <c r="L64" s="39"/>
    </row>
    <row r="65" spans="1:12" ht="16.5" thickBot="1">
      <c r="A65" s="5"/>
      <c r="B65" s="5"/>
      <c r="C65" s="33"/>
      <c r="D65" s="5"/>
      <c r="E65" s="5"/>
      <c r="F65" s="5"/>
      <c r="G65" s="5"/>
      <c r="H65" s="20"/>
      <c r="I65" s="35"/>
    </row>
    <row r="68" spans="1:12">
      <c r="L68" s="156"/>
    </row>
  </sheetData>
  <mergeCells count="8">
    <mergeCell ref="A1:I2"/>
    <mergeCell ref="A3:I3"/>
    <mergeCell ref="C4:H4"/>
    <mergeCell ref="A10:A11"/>
    <mergeCell ref="C10:C11"/>
    <mergeCell ref="D10:D11"/>
    <mergeCell ref="E10:E11"/>
    <mergeCell ref="I10:I11"/>
  </mergeCells>
  <printOptions horizontalCentered="1" verticalCentered="1"/>
  <pageMargins left="0.91" right="0.75" top="0.8" bottom="1" header="0" footer="0"/>
  <pageSetup scale="66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3"/>
  <dimension ref="A1:O113"/>
  <sheetViews>
    <sheetView showGridLines="0" showWhiteSpace="0" view="pageBreakPreview" topLeftCell="A25" zoomScale="91" zoomScaleSheetLayoutView="91" workbookViewId="0">
      <selection activeCell="E91" sqref="E91"/>
    </sheetView>
  </sheetViews>
  <sheetFormatPr baseColWidth="10" defaultColWidth="11.42578125" defaultRowHeight="12.75"/>
  <cols>
    <col min="1" max="1" width="5.5703125" style="83" customWidth="1"/>
    <col min="2" max="2" width="5.7109375" style="92" customWidth="1"/>
    <col min="3" max="3" width="57.85546875" style="84" customWidth="1"/>
    <col min="4" max="4" width="11" style="84" customWidth="1"/>
    <col min="5" max="5" width="13.85546875" style="96" customWidth="1"/>
    <col min="6" max="6" width="13.85546875" style="94" hidden="1" customWidth="1"/>
    <col min="7" max="7" width="14.85546875" style="96" hidden="1" customWidth="1"/>
    <col min="8" max="8" width="15.5703125" style="96" customWidth="1"/>
    <col min="9" max="9" width="15.85546875" style="96" customWidth="1"/>
    <col min="10" max="10" width="13.5703125" style="80" customWidth="1"/>
    <col min="11" max="12" width="14.28515625" style="80" hidden="1" customWidth="1"/>
    <col min="13" max="13" width="11.42578125" style="80"/>
    <col min="14" max="14" width="16.7109375" style="80" bestFit="1" customWidth="1"/>
    <col min="15" max="16384" width="11.42578125" style="80"/>
  </cols>
  <sheetData>
    <row r="1" spans="1:14" ht="20.25" customHeight="1">
      <c r="B1" s="306" t="s">
        <v>269</v>
      </c>
      <c r="C1" s="306"/>
      <c r="D1" s="306"/>
      <c r="E1" s="306"/>
      <c r="F1" s="306"/>
      <c r="G1" s="306"/>
      <c r="H1" s="306"/>
      <c r="I1" s="306"/>
    </row>
    <row r="3" spans="1:14" ht="20.25">
      <c r="B3" s="318" t="s">
        <v>270</v>
      </c>
      <c r="C3" s="318"/>
      <c r="D3" s="318"/>
      <c r="E3" s="318"/>
      <c r="F3" s="318"/>
      <c r="G3" s="318"/>
      <c r="H3" s="318"/>
      <c r="I3" s="318"/>
    </row>
    <row r="4" spans="1:14" ht="14.25" customHeight="1"/>
    <row r="5" spans="1:14" ht="14.25" customHeight="1">
      <c r="B5" s="307" t="s">
        <v>271</v>
      </c>
      <c r="C5" s="307"/>
      <c r="D5" s="307"/>
      <c r="E5" s="307"/>
      <c r="F5" s="307"/>
      <c r="G5" s="307"/>
      <c r="H5" s="307"/>
      <c r="I5" s="307"/>
    </row>
    <row r="6" spans="1:14" ht="14.25" customHeight="1">
      <c r="B6" s="307"/>
      <c r="C6" s="307"/>
      <c r="D6" s="307"/>
      <c r="E6" s="307"/>
      <c r="F6" s="307"/>
      <c r="G6" s="307"/>
      <c r="H6" s="307"/>
      <c r="I6" s="307"/>
    </row>
    <row r="7" spans="1:14" ht="30.75" customHeight="1">
      <c r="A7" s="99" t="s">
        <v>1</v>
      </c>
      <c r="B7" s="308" t="s">
        <v>272</v>
      </c>
      <c r="C7" s="308"/>
      <c r="D7" s="308"/>
      <c r="E7" s="308"/>
      <c r="F7" s="308"/>
      <c r="G7" s="308"/>
      <c r="H7" s="308"/>
      <c r="I7" s="308"/>
    </row>
    <row r="8" spans="1:14" ht="23.25" customHeight="1">
      <c r="A8" s="99"/>
      <c r="B8" s="309"/>
      <c r="C8" s="309"/>
      <c r="D8" s="309"/>
      <c r="E8" s="309"/>
      <c r="F8" s="309"/>
      <c r="G8" s="309"/>
      <c r="H8" s="309"/>
      <c r="I8" s="309"/>
      <c r="N8" s="158"/>
    </row>
    <row r="9" spans="1:14" ht="35.25" customHeight="1">
      <c r="A9" s="99"/>
      <c r="B9" s="308" t="s">
        <v>273</v>
      </c>
      <c r="C9" s="308"/>
      <c r="D9" s="277" t="s">
        <v>193</v>
      </c>
      <c r="E9" s="278" t="s">
        <v>177</v>
      </c>
      <c r="F9" s="310" t="s">
        <v>0</v>
      </c>
      <c r="G9" s="310"/>
      <c r="H9" s="278" t="s">
        <v>274</v>
      </c>
      <c r="I9" s="278" t="s">
        <v>275</v>
      </c>
      <c r="N9" s="158"/>
    </row>
    <row r="10" spans="1:14" ht="23.25" customHeight="1">
      <c r="A10" s="99"/>
      <c r="B10" s="279">
        <v>1</v>
      </c>
      <c r="C10" s="317" t="s">
        <v>276</v>
      </c>
      <c r="D10" s="317"/>
      <c r="E10" s="317"/>
      <c r="F10" s="317"/>
      <c r="G10" s="317"/>
      <c r="H10" s="317"/>
      <c r="I10" s="317"/>
      <c r="N10" s="158"/>
    </row>
    <row r="11" spans="1:14" ht="24.75" customHeight="1">
      <c r="A11" s="100">
        <v>1.1000000000000001</v>
      </c>
      <c r="B11" s="280">
        <v>1.1000000000000001</v>
      </c>
      <c r="C11" s="289" t="e">
        <f t="shared" ref="C11:C17" si="0">IF(ISNA(VLOOKUP(A11,RESUMEN,2,FALSE)),0,VLOOKUP(A11,RESUMEN,2,FALSE))</f>
        <v>#REF!</v>
      </c>
      <c r="D11" s="281" t="e">
        <f t="shared" ref="D11" si="1">IF(ISNA(VLOOKUP(A11,RESUMEN,3,FALSE)),0,VLOOKUP(A11,RESUMEN,3,FALSE))</f>
        <v>#REF!</v>
      </c>
      <c r="E11" s="293">
        <v>10000</v>
      </c>
      <c r="F11" s="208" t="e">
        <f>#REF!</f>
        <v>#REF!</v>
      </c>
      <c r="G11" s="209" t="e">
        <f>ROUND(E11*F11,2)</f>
        <v>#REF!</v>
      </c>
      <c r="H11" s="282" t="e">
        <f t="shared" ref="H11" si="2">IF(ISNA(VLOOKUP(A11,RESUMEN,4,FALSE)),0,VLOOKUP(A11,RESUMEN,4,FALSE))</f>
        <v>#REF!</v>
      </c>
      <c r="I11" s="290" t="e">
        <f>ROUND(H11*E11,2)</f>
        <v>#REF!</v>
      </c>
      <c r="N11" s="157"/>
    </row>
    <row r="12" spans="1:14" ht="24.75" customHeight="1">
      <c r="A12" s="100">
        <v>1.2</v>
      </c>
      <c r="B12" s="280">
        <v>1.2</v>
      </c>
      <c r="C12" s="289" t="e">
        <f t="shared" si="0"/>
        <v>#REF!</v>
      </c>
      <c r="D12" s="281" t="e">
        <f t="shared" ref="D12:D17" si="3">IF(ISNA(VLOOKUP(A12,RESUMEN,3,FALSE)),0,VLOOKUP(A12,RESUMEN,3,FALSE))</f>
        <v>#REF!</v>
      </c>
      <c r="E12" s="293">
        <v>20500</v>
      </c>
      <c r="F12" s="208" t="e">
        <f>#REF!</f>
        <v>#REF!</v>
      </c>
      <c r="G12" s="209" t="e">
        <f t="shared" ref="G12:G17" si="4">ROUND(E12*F12,2)</f>
        <v>#REF!</v>
      </c>
      <c r="H12" s="282" t="e">
        <f t="shared" ref="H12:H17" si="5">IF(ISNA(VLOOKUP(A12,RESUMEN,4,FALSE)),0,VLOOKUP(A12,RESUMEN,4,FALSE))</f>
        <v>#REF!</v>
      </c>
      <c r="I12" s="290" t="e">
        <f t="shared" ref="I12:I17" si="6">ROUND(H12*E12,2)</f>
        <v>#REF!</v>
      </c>
      <c r="N12" s="157"/>
    </row>
    <row r="13" spans="1:14" ht="24.75" customHeight="1">
      <c r="A13" s="100">
        <v>1.3</v>
      </c>
      <c r="B13" s="280">
        <v>1.3</v>
      </c>
      <c r="C13" s="289" t="e">
        <f t="shared" si="0"/>
        <v>#REF!</v>
      </c>
      <c r="D13" s="281" t="e">
        <f t="shared" si="3"/>
        <v>#REF!</v>
      </c>
      <c r="E13" s="293">
        <v>3500</v>
      </c>
      <c r="F13" s="208" t="e">
        <f>#REF!</f>
        <v>#REF!</v>
      </c>
      <c r="G13" s="209" t="e">
        <f t="shared" si="4"/>
        <v>#REF!</v>
      </c>
      <c r="H13" s="282" t="e">
        <f t="shared" si="5"/>
        <v>#REF!</v>
      </c>
      <c r="I13" s="290" t="e">
        <f t="shared" si="6"/>
        <v>#REF!</v>
      </c>
      <c r="N13" s="157"/>
    </row>
    <row r="14" spans="1:14" ht="24.75" customHeight="1">
      <c r="A14" s="100">
        <v>1.4</v>
      </c>
      <c r="B14" s="280">
        <v>1.4</v>
      </c>
      <c r="C14" s="289" t="e">
        <f t="shared" si="0"/>
        <v>#REF!</v>
      </c>
      <c r="D14" s="281" t="e">
        <f t="shared" si="3"/>
        <v>#REF!</v>
      </c>
      <c r="E14" s="293">
        <v>1378</v>
      </c>
      <c r="F14" s="208" t="e">
        <f>#REF!</f>
        <v>#REF!</v>
      </c>
      <c r="G14" s="209" t="e">
        <f t="shared" si="4"/>
        <v>#REF!</v>
      </c>
      <c r="H14" s="282" t="e">
        <f t="shared" si="5"/>
        <v>#REF!</v>
      </c>
      <c r="I14" s="290" t="e">
        <f t="shared" si="6"/>
        <v>#REF!</v>
      </c>
      <c r="N14" s="157"/>
    </row>
    <row r="15" spans="1:14" ht="24.75" customHeight="1">
      <c r="A15" s="100">
        <v>1.5</v>
      </c>
      <c r="B15" s="280">
        <v>1.5</v>
      </c>
      <c r="C15" s="289" t="e">
        <f t="shared" si="0"/>
        <v>#REF!</v>
      </c>
      <c r="D15" s="281" t="e">
        <f t="shared" si="3"/>
        <v>#REF!</v>
      </c>
      <c r="E15" s="293">
        <v>15000</v>
      </c>
      <c r="F15" s="208" t="e">
        <f>#REF!</f>
        <v>#REF!</v>
      </c>
      <c r="G15" s="209" t="e">
        <f t="shared" si="4"/>
        <v>#REF!</v>
      </c>
      <c r="H15" s="282" t="e">
        <f t="shared" si="5"/>
        <v>#REF!</v>
      </c>
      <c r="I15" s="290" t="e">
        <f t="shared" si="6"/>
        <v>#REF!</v>
      </c>
      <c r="N15" s="157"/>
    </row>
    <row r="16" spans="1:14" ht="24.75" customHeight="1">
      <c r="A16" s="100">
        <v>1.6</v>
      </c>
      <c r="B16" s="280">
        <v>1.6</v>
      </c>
      <c r="C16" s="289" t="e">
        <f t="shared" si="0"/>
        <v>#REF!</v>
      </c>
      <c r="D16" s="281" t="e">
        <f t="shared" si="3"/>
        <v>#REF!</v>
      </c>
      <c r="E16" s="293">
        <v>5000</v>
      </c>
      <c r="F16" s="208" t="e">
        <f>#REF!</f>
        <v>#REF!</v>
      </c>
      <c r="G16" s="209" t="e">
        <f t="shared" si="4"/>
        <v>#REF!</v>
      </c>
      <c r="H16" s="282" t="e">
        <f t="shared" si="5"/>
        <v>#REF!</v>
      </c>
      <c r="I16" s="290" t="e">
        <f t="shared" si="6"/>
        <v>#REF!</v>
      </c>
      <c r="N16" s="157"/>
    </row>
    <row r="17" spans="1:15" ht="33" customHeight="1">
      <c r="A17" s="100">
        <v>1.7</v>
      </c>
      <c r="B17" s="280">
        <v>1.7</v>
      </c>
      <c r="C17" s="291" t="e">
        <f t="shared" si="0"/>
        <v>#REF!</v>
      </c>
      <c r="D17" s="281" t="e">
        <f t="shared" si="3"/>
        <v>#REF!</v>
      </c>
      <c r="E17" s="293">
        <v>30</v>
      </c>
      <c r="F17" s="208" t="e">
        <f>#REF!</f>
        <v>#REF!</v>
      </c>
      <c r="G17" s="209" t="e">
        <f t="shared" si="4"/>
        <v>#REF!</v>
      </c>
      <c r="H17" s="282" t="e">
        <f t="shared" si="5"/>
        <v>#REF!</v>
      </c>
      <c r="I17" s="290" t="e">
        <f t="shared" si="6"/>
        <v>#REF!</v>
      </c>
      <c r="N17" s="157"/>
    </row>
    <row r="18" spans="1:15" ht="21" customHeight="1">
      <c r="A18" s="100"/>
      <c r="B18" s="280"/>
      <c r="C18" s="311" t="s">
        <v>279</v>
      </c>
      <c r="D18" s="312"/>
      <c r="E18" s="313"/>
      <c r="F18" s="283"/>
      <c r="G18" s="284" t="e">
        <f>SUM(G11:G17)</f>
        <v>#REF!</v>
      </c>
      <c r="H18" s="314" t="e">
        <f>SUM(I11:I17)</f>
        <v>#REF!</v>
      </c>
      <c r="I18" s="314"/>
      <c r="N18" s="157"/>
    </row>
    <row r="19" spans="1:15" ht="23.25" customHeight="1">
      <c r="A19" s="100"/>
      <c r="B19" s="279">
        <v>2</v>
      </c>
      <c r="C19" s="317" t="s">
        <v>280</v>
      </c>
      <c r="D19" s="317"/>
      <c r="E19" s="317"/>
      <c r="F19" s="317"/>
      <c r="G19" s="317"/>
      <c r="H19" s="317"/>
      <c r="I19" s="317"/>
      <c r="N19" s="157"/>
    </row>
    <row r="20" spans="1:15" ht="25.5" customHeight="1">
      <c r="A20" s="100">
        <v>2.1</v>
      </c>
      <c r="B20" s="280">
        <v>2.1</v>
      </c>
      <c r="C20" s="289" t="e">
        <f t="shared" ref="C20:C26" si="7">IF(ISNA(VLOOKUP(A20,RESUMEN,2,FALSE)),0,VLOOKUP(A20,RESUMEN,2,FALSE))</f>
        <v>#REF!</v>
      </c>
      <c r="D20" s="281" t="e">
        <f t="shared" ref="D20:D26" si="8">IF(ISNA(VLOOKUP(A20,RESUMEN,3,FALSE)),0,VLOOKUP(A20,RESUMEN,3,FALSE))</f>
        <v>#REF!</v>
      </c>
      <c r="E20" s="293">
        <v>2</v>
      </c>
      <c r="F20" s="208" t="e">
        <f>#REF!</f>
        <v>#REF!</v>
      </c>
      <c r="G20" s="209" t="e">
        <f t="shared" ref="G20:G26" si="9">ROUND(E20*F20,2)</f>
        <v>#REF!</v>
      </c>
      <c r="H20" s="282" t="e">
        <f t="shared" ref="H20:H26" si="10">IF(ISNA(VLOOKUP(A20,RESUMEN,4,FALSE)),0,VLOOKUP(A20,RESUMEN,4,FALSE))</f>
        <v>#REF!</v>
      </c>
      <c r="I20" s="290" t="e">
        <f t="shared" ref="I20:I26" si="11">ROUND(H20*E20,2)</f>
        <v>#REF!</v>
      </c>
      <c r="N20" s="157"/>
    </row>
    <row r="21" spans="1:15" ht="25.5" customHeight="1">
      <c r="A21" s="100">
        <v>2.2000000000000002</v>
      </c>
      <c r="B21" s="280">
        <v>2.2000000000000002</v>
      </c>
      <c r="C21" s="289" t="e">
        <f t="shared" si="7"/>
        <v>#REF!</v>
      </c>
      <c r="D21" s="281" t="e">
        <f t="shared" si="8"/>
        <v>#REF!</v>
      </c>
      <c r="E21" s="293">
        <v>48</v>
      </c>
      <c r="F21" s="208" t="e">
        <f>#REF!</f>
        <v>#REF!</v>
      </c>
      <c r="G21" s="209" t="e">
        <f t="shared" si="9"/>
        <v>#REF!</v>
      </c>
      <c r="H21" s="282" t="e">
        <f t="shared" si="10"/>
        <v>#REF!</v>
      </c>
      <c r="I21" s="290" t="e">
        <f t="shared" si="11"/>
        <v>#REF!</v>
      </c>
      <c r="N21" s="157"/>
    </row>
    <row r="22" spans="1:15" ht="25.5" customHeight="1">
      <c r="A22" s="100">
        <v>2.2999999999999998</v>
      </c>
      <c r="B22" s="280">
        <v>2.2999999999999998</v>
      </c>
      <c r="C22" s="289" t="e">
        <f t="shared" si="7"/>
        <v>#REF!</v>
      </c>
      <c r="D22" s="281" t="e">
        <f t="shared" si="8"/>
        <v>#REF!</v>
      </c>
      <c r="E22" s="293">
        <v>15</v>
      </c>
      <c r="F22" s="208" t="e">
        <f>#REF!</f>
        <v>#REF!</v>
      </c>
      <c r="G22" s="209" t="e">
        <f t="shared" si="9"/>
        <v>#REF!</v>
      </c>
      <c r="H22" s="282" t="e">
        <f t="shared" si="10"/>
        <v>#REF!</v>
      </c>
      <c r="I22" s="290" t="e">
        <f t="shared" si="11"/>
        <v>#REF!</v>
      </c>
      <c r="N22" s="157"/>
    </row>
    <row r="23" spans="1:15" ht="25.5" customHeight="1">
      <c r="A23" s="100">
        <v>2.4</v>
      </c>
      <c r="B23" s="280">
        <v>2.4</v>
      </c>
      <c r="C23" s="289" t="e">
        <f t="shared" si="7"/>
        <v>#REF!</v>
      </c>
      <c r="D23" s="281" t="e">
        <f t="shared" si="8"/>
        <v>#REF!</v>
      </c>
      <c r="E23" s="293">
        <v>1</v>
      </c>
      <c r="F23" s="208" t="e">
        <f>#REF!</f>
        <v>#REF!</v>
      </c>
      <c r="G23" s="209" t="e">
        <f t="shared" si="9"/>
        <v>#REF!</v>
      </c>
      <c r="H23" s="282" t="e">
        <f t="shared" si="10"/>
        <v>#REF!</v>
      </c>
      <c r="I23" s="290" t="e">
        <f t="shared" si="11"/>
        <v>#REF!</v>
      </c>
      <c r="N23" s="157"/>
    </row>
    <row r="24" spans="1:15" ht="25.5" customHeight="1">
      <c r="A24" s="100">
        <v>2.5</v>
      </c>
      <c r="B24" s="280">
        <v>2.5</v>
      </c>
      <c r="C24" s="289" t="e">
        <f t="shared" si="7"/>
        <v>#REF!</v>
      </c>
      <c r="D24" s="281" t="e">
        <f t="shared" si="8"/>
        <v>#REF!</v>
      </c>
      <c r="E24" s="293">
        <v>550</v>
      </c>
      <c r="F24" s="208" t="e">
        <f>#REF!</f>
        <v>#REF!</v>
      </c>
      <c r="G24" s="209" t="e">
        <f t="shared" si="9"/>
        <v>#REF!</v>
      </c>
      <c r="H24" s="282" t="e">
        <f t="shared" si="10"/>
        <v>#REF!</v>
      </c>
      <c r="I24" s="290" t="e">
        <f t="shared" si="11"/>
        <v>#REF!</v>
      </c>
      <c r="N24" s="157"/>
    </row>
    <row r="25" spans="1:15" s="84" customFormat="1" ht="33" customHeight="1">
      <c r="A25" s="100">
        <v>2.6</v>
      </c>
      <c r="B25" s="285">
        <v>2.6</v>
      </c>
      <c r="C25" s="291" t="e">
        <f t="shared" si="7"/>
        <v>#REF!</v>
      </c>
      <c r="D25" s="281" t="e">
        <f t="shared" si="8"/>
        <v>#REF!</v>
      </c>
      <c r="E25" s="293">
        <v>520</v>
      </c>
      <c r="F25" s="208" t="e">
        <f>#REF!</f>
        <v>#REF!</v>
      </c>
      <c r="G25" s="209" t="e">
        <f t="shared" si="9"/>
        <v>#REF!</v>
      </c>
      <c r="H25" s="282" t="e">
        <f t="shared" si="10"/>
        <v>#REF!</v>
      </c>
      <c r="I25" s="290" t="e">
        <f t="shared" si="11"/>
        <v>#REF!</v>
      </c>
      <c r="J25" s="80"/>
      <c r="K25" s="80"/>
      <c r="L25" s="80"/>
      <c r="N25" s="157"/>
      <c r="O25" s="80"/>
    </row>
    <row r="26" spans="1:15" s="84" customFormat="1" ht="25.5" customHeight="1">
      <c r="A26" s="100">
        <v>2.7</v>
      </c>
      <c r="B26" s="280">
        <v>2.7</v>
      </c>
      <c r="C26" s="289" t="e">
        <f t="shared" si="7"/>
        <v>#REF!</v>
      </c>
      <c r="D26" s="281" t="e">
        <f t="shared" si="8"/>
        <v>#REF!</v>
      </c>
      <c r="E26" s="293">
        <v>2</v>
      </c>
      <c r="F26" s="208" t="e">
        <f>#REF!</f>
        <v>#REF!</v>
      </c>
      <c r="G26" s="209" t="e">
        <f t="shared" si="9"/>
        <v>#REF!</v>
      </c>
      <c r="H26" s="282" t="e">
        <f t="shared" si="10"/>
        <v>#REF!</v>
      </c>
      <c r="I26" s="290" t="e">
        <f t="shared" si="11"/>
        <v>#REF!</v>
      </c>
      <c r="J26" s="80"/>
      <c r="K26" s="80"/>
      <c r="L26" s="80"/>
      <c r="N26" s="157"/>
      <c r="O26" s="80"/>
    </row>
    <row r="27" spans="1:15" s="84" customFormat="1" ht="21" customHeight="1">
      <c r="A27" s="100"/>
      <c r="B27" s="280"/>
      <c r="C27" s="311" t="s">
        <v>279</v>
      </c>
      <c r="D27" s="312"/>
      <c r="E27" s="313"/>
      <c r="F27" s="283"/>
      <c r="G27" s="284" t="e">
        <f>SUM(G20:G26)</f>
        <v>#REF!</v>
      </c>
      <c r="H27" s="314" t="e">
        <f>SUM(I20:I26)</f>
        <v>#REF!</v>
      </c>
      <c r="I27" s="314"/>
      <c r="J27" s="80"/>
      <c r="K27" s="80"/>
      <c r="L27" s="80"/>
      <c r="N27" s="157"/>
      <c r="O27" s="80"/>
    </row>
    <row r="28" spans="1:15" s="84" customFormat="1" ht="23.25" customHeight="1">
      <c r="A28" s="100"/>
      <c r="B28" s="279">
        <v>3</v>
      </c>
      <c r="C28" s="317" t="s">
        <v>281</v>
      </c>
      <c r="D28" s="317"/>
      <c r="E28" s="317"/>
      <c r="F28" s="317"/>
      <c r="G28" s="317"/>
      <c r="H28" s="317"/>
      <c r="I28" s="317"/>
      <c r="J28" s="80"/>
      <c r="K28" s="80"/>
      <c r="L28" s="80"/>
      <c r="N28" s="157"/>
      <c r="O28" s="80"/>
    </row>
    <row r="29" spans="1:15" s="84" customFormat="1" ht="48.75" customHeight="1">
      <c r="A29" s="100">
        <v>3.1</v>
      </c>
      <c r="B29" s="285">
        <v>3.1</v>
      </c>
      <c r="C29" s="291" t="e">
        <f>IF(ISNA(VLOOKUP(A29,RESUMEN,2,FALSE)),0,VLOOKUP(A29,RESUMEN,2,FALSE))</f>
        <v>#REF!</v>
      </c>
      <c r="D29" s="281" t="e">
        <f t="shared" ref="D29" si="12">IF(ISNA(VLOOKUP(A29,RESUMEN,3,FALSE)),0,VLOOKUP(A29,RESUMEN,3,FALSE))</f>
        <v>#REF!</v>
      </c>
      <c r="E29" s="293">
        <v>500</v>
      </c>
      <c r="F29" s="208" t="e">
        <f>#REF!</f>
        <v>#REF!</v>
      </c>
      <c r="G29" s="209" t="e">
        <f t="shared" ref="G29:G33" si="13">ROUND(E29*F29,2)</f>
        <v>#REF!</v>
      </c>
      <c r="H29" s="282" t="e">
        <f t="shared" ref="H29" si="14">IF(ISNA(VLOOKUP(A29,RESUMEN,4,FALSE)),0,VLOOKUP(A29,RESUMEN,4,FALSE))</f>
        <v>#REF!</v>
      </c>
      <c r="I29" s="290" t="e">
        <f t="shared" ref="I29" si="15">ROUND(H29*E29,2)</f>
        <v>#REF!</v>
      </c>
      <c r="J29" s="80"/>
      <c r="K29" s="80"/>
      <c r="L29" s="80"/>
      <c r="N29" s="157"/>
      <c r="O29" s="80"/>
    </row>
    <row r="30" spans="1:15" s="84" customFormat="1" ht="48.75" customHeight="1">
      <c r="A30" s="100">
        <v>3.2</v>
      </c>
      <c r="B30" s="280">
        <v>3.2</v>
      </c>
      <c r="C30" s="291" t="e">
        <f>IF(ISNA(VLOOKUP(A30,RESUMEN,2,FALSE)),0,VLOOKUP(A30,RESUMEN,2,FALSE))</f>
        <v>#REF!</v>
      </c>
      <c r="D30" s="281" t="e">
        <f t="shared" ref="D30:D31" si="16">IF(ISNA(VLOOKUP(A30,RESUMEN,3,FALSE)),0,VLOOKUP(A30,RESUMEN,3,FALSE))</f>
        <v>#REF!</v>
      </c>
      <c r="E30" s="293">
        <v>700</v>
      </c>
      <c r="F30" s="208" t="e">
        <f>#REF!</f>
        <v>#REF!</v>
      </c>
      <c r="G30" s="209" t="e">
        <f t="shared" si="13"/>
        <v>#REF!</v>
      </c>
      <c r="H30" s="282" t="e">
        <f t="shared" ref="H30:H31" si="17">IF(ISNA(VLOOKUP(A30,RESUMEN,4,FALSE)),0,VLOOKUP(A30,RESUMEN,4,FALSE))</f>
        <v>#REF!</v>
      </c>
      <c r="I30" s="290" t="e">
        <f t="shared" ref="I30:I31" si="18">ROUND(H30*E30,2)</f>
        <v>#REF!</v>
      </c>
      <c r="J30" s="80"/>
      <c r="K30" s="80"/>
      <c r="L30" s="80"/>
      <c r="N30" s="157"/>
      <c r="O30" s="80"/>
    </row>
    <row r="31" spans="1:15" s="84" customFormat="1" ht="48.75" customHeight="1">
      <c r="A31" s="100">
        <v>3.3</v>
      </c>
      <c r="B31" s="280">
        <v>3.3</v>
      </c>
      <c r="C31" s="291" t="e">
        <f>IF(ISNA(VLOOKUP(A31,RESUMEN,2,FALSE)),0,VLOOKUP(A31,RESUMEN,2,FALSE))</f>
        <v>#REF!</v>
      </c>
      <c r="D31" s="281" t="e">
        <f t="shared" si="16"/>
        <v>#REF!</v>
      </c>
      <c r="E31" s="293">
        <v>400</v>
      </c>
      <c r="F31" s="208" t="e">
        <f>#REF!</f>
        <v>#REF!</v>
      </c>
      <c r="G31" s="209" t="e">
        <f t="shared" si="13"/>
        <v>#REF!</v>
      </c>
      <c r="H31" s="282" t="e">
        <f t="shared" si="17"/>
        <v>#REF!</v>
      </c>
      <c r="I31" s="290" t="e">
        <f t="shared" si="18"/>
        <v>#REF!</v>
      </c>
      <c r="J31" s="80"/>
      <c r="K31" s="80"/>
      <c r="L31" s="80"/>
      <c r="N31" s="157"/>
      <c r="O31" s="80"/>
    </row>
    <row r="32" spans="1:15" s="84" customFormat="1" ht="21" customHeight="1">
      <c r="A32" s="100"/>
      <c r="B32" s="280"/>
      <c r="C32" s="292" t="s">
        <v>279</v>
      </c>
      <c r="D32" s="292"/>
      <c r="E32" s="294"/>
      <c r="F32" s="283"/>
      <c r="G32" s="284" t="e">
        <f>SUM(G29:G31)</f>
        <v>#REF!</v>
      </c>
      <c r="H32" s="314" t="e">
        <f>SUM(I29:I31)</f>
        <v>#REF!</v>
      </c>
      <c r="I32" s="314"/>
      <c r="J32" s="80"/>
      <c r="K32" s="80"/>
      <c r="L32" s="80"/>
      <c r="N32" s="295"/>
      <c r="O32" s="80"/>
    </row>
    <row r="33" spans="1:15" s="84" customFormat="1" ht="26.25" customHeight="1">
      <c r="A33" s="100">
        <v>4</v>
      </c>
      <c r="B33" s="276">
        <v>4</v>
      </c>
      <c r="C33" s="289" t="e">
        <f>IF(ISNA(VLOOKUP(A33,RESUMEN,2,FALSE)),0,VLOOKUP(A33,RESUMEN,2,FALSE))</f>
        <v>#REF!</v>
      </c>
      <c r="D33" s="281" t="e">
        <f t="shared" ref="D33" si="19">IF(ISNA(VLOOKUP(A33,RESUMEN,3,FALSE)),0,VLOOKUP(A33,RESUMEN,3,FALSE))</f>
        <v>#REF!</v>
      </c>
      <c r="E33" s="293">
        <v>10</v>
      </c>
      <c r="F33" s="208"/>
      <c r="G33" s="209">
        <f t="shared" si="13"/>
        <v>0</v>
      </c>
      <c r="H33" s="282"/>
      <c r="I33" s="290" t="e">
        <f>(H18+H27+H32)*0.1</f>
        <v>#REF!</v>
      </c>
      <c r="J33" s="80"/>
      <c r="K33" s="80"/>
      <c r="L33" s="80"/>
      <c r="N33" s="157"/>
      <c r="O33" s="80"/>
    </row>
    <row r="34" spans="1:15" ht="21" customHeight="1">
      <c r="A34" s="100">
        <v>13</v>
      </c>
      <c r="B34" s="280"/>
      <c r="C34" s="311" t="s">
        <v>279</v>
      </c>
      <c r="D34" s="312"/>
      <c r="E34" s="313"/>
      <c r="F34" s="283"/>
      <c r="G34" s="284"/>
      <c r="H34" s="314" t="e">
        <f>SUM(I33)</f>
        <v>#REF!</v>
      </c>
      <c r="I34" s="314"/>
      <c r="K34" s="80">
        <f>10000/125</f>
        <v>80</v>
      </c>
      <c r="N34" s="157"/>
    </row>
    <row r="35" spans="1:15" ht="35.25" customHeight="1">
      <c r="A35" s="100"/>
      <c r="B35" s="276"/>
      <c r="C35" s="315" t="s">
        <v>282</v>
      </c>
      <c r="D35" s="315"/>
      <c r="E35" s="315"/>
      <c r="F35" s="286"/>
      <c r="G35" s="296" t="e">
        <f>ROUND(G18+G27+G32+G34,2)</f>
        <v>#REF!</v>
      </c>
      <c r="H35" s="316" t="e">
        <f>ROUND(H18+H27+H34+H32,2)</f>
        <v>#REF!</v>
      </c>
      <c r="I35" s="316"/>
      <c r="N35" s="157"/>
    </row>
    <row r="36" spans="1:15" ht="15">
      <c r="A36" s="100"/>
      <c r="B36" s="177"/>
      <c r="C36" s="178"/>
      <c r="D36" s="179"/>
      <c r="E36" s="89"/>
      <c r="F36" s="287"/>
      <c r="G36" s="288"/>
      <c r="H36" s="184"/>
      <c r="I36" s="89"/>
      <c r="N36" s="157"/>
    </row>
    <row r="37" spans="1:15" ht="15">
      <c r="A37" s="100"/>
      <c r="B37" s="177"/>
      <c r="C37" s="178"/>
      <c r="D37" s="179"/>
      <c r="E37" s="89"/>
      <c r="F37" s="180"/>
      <c r="G37" s="181"/>
      <c r="H37" s="182"/>
      <c r="I37" s="89"/>
      <c r="N37" s="157"/>
    </row>
    <row r="38" spans="1:15" ht="15">
      <c r="A38" s="100"/>
      <c r="B38" s="177"/>
      <c r="C38" s="183"/>
      <c r="D38" s="179"/>
      <c r="E38" s="89"/>
      <c r="F38" s="180"/>
      <c r="G38" s="181"/>
      <c r="H38" s="184"/>
      <c r="I38" s="89"/>
      <c r="N38" s="157"/>
    </row>
    <row r="39" spans="1:15" ht="15">
      <c r="A39" s="100"/>
      <c r="B39" s="177"/>
      <c r="C39" s="178"/>
      <c r="D39" s="179"/>
      <c r="E39" s="185"/>
      <c r="F39" s="180"/>
      <c r="G39" s="181"/>
      <c r="H39" s="184"/>
      <c r="I39" s="89"/>
    </row>
    <row r="40" spans="1:15" ht="15">
      <c r="B40" s="85"/>
      <c r="C40" s="87"/>
      <c r="D40" s="88"/>
      <c r="E40" s="89"/>
      <c r="F40" s="180"/>
      <c r="G40" s="181"/>
      <c r="H40" s="89"/>
      <c r="I40" s="91"/>
      <c r="L40" s="80" t="s">
        <v>70</v>
      </c>
      <c r="M40" s="80">
        <v>5000</v>
      </c>
    </row>
    <row r="41" spans="1:15" ht="15">
      <c r="B41" s="85"/>
      <c r="C41" s="186"/>
      <c r="D41" s="88"/>
      <c r="E41" s="89"/>
      <c r="F41" s="180"/>
      <c r="G41" s="181"/>
      <c r="H41" s="89"/>
      <c r="I41" s="91"/>
      <c r="L41" s="80" t="s">
        <v>74</v>
      </c>
      <c r="M41" s="80">
        <f>5000*3</f>
        <v>15000</v>
      </c>
    </row>
    <row r="42" spans="1:15">
      <c r="B42" s="88"/>
      <c r="C42" s="86" t="s">
        <v>10</v>
      </c>
      <c r="D42" s="88"/>
      <c r="E42" s="89"/>
      <c r="F42" s="90"/>
      <c r="G42" s="90"/>
      <c r="H42" s="89"/>
      <c r="I42" s="91"/>
      <c r="L42" s="80" t="s">
        <v>68</v>
      </c>
      <c r="M42" s="80">
        <f>20000</f>
        <v>20000</v>
      </c>
    </row>
    <row r="43" spans="1:15">
      <c r="C43" s="102" t="s">
        <v>33</v>
      </c>
      <c r="D43" s="122">
        <f>24000*1.4*4</f>
        <v>134400</v>
      </c>
      <c r="E43" s="93">
        <v>6</v>
      </c>
      <c r="F43" s="93">
        <f t="shared" ref="F43:F79" si="20">D43*E43</f>
        <v>806400</v>
      </c>
      <c r="G43" s="97"/>
      <c r="H43" s="94"/>
      <c r="I43" s="94"/>
      <c r="L43" s="80" t="s">
        <v>167</v>
      </c>
      <c r="M43" s="80">
        <f>20000</f>
        <v>20000</v>
      </c>
    </row>
    <row r="44" spans="1:15">
      <c r="C44" s="102" t="s">
        <v>61</v>
      </c>
      <c r="D44" s="122"/>
      <c r="E44" s="93">
        <v>0</v>
      </c>
      <c r="F44" s="93">
        <f t="shared" si="20"/>
        <v>0</v>
      </c>
      <c r="G44" s="97"/>
      <c r="H44" s="94"/>
      <c r="I44" s="94"/>
      <c r="L44" s="80" t="s">
        <v>67</v>
      </c>
      <c r="M44" s="80">
        <f>20000</f>
        <v>20000</v>
      </c>
    </row>
    <row r="45" spans="1:15">
      <c r="C45" s="102"/>
      <c r="D45" s="122"/>
      <c r="E45" s="93"/>
      <c r="F45" s="93">
        <f t="shared" si="20"/>
        <v>0</v>
      </c>
      <c r="G45" s="97"/>
      <c r="H45" s="94"/>
      <c r="I45" s="94"/>
      <c r="M45" s="80">
        <f>SUM(M40:M44)</f>
        <v>80000</v>
      </c>
    </row>
    <row r="46" spans="1:15">
      <c r="C46" s="102" t="s">
        <v>65</v>
      </c>
      <c r="D46" s="122"/>
      <c r="E46" s="93">
        <v>6</v>
      </c>
      <c r="F46" s="93">
        <f t="shared" si="20"/>
        <v>0</v>
      </c>
      <c r="G46" s="97"/>
      <c r="H46" s="94"/>
      <c r="I46" s="94"/>
    </row>
    <row r="47" spans="1:15">
      <c r="C47" s="102" t="s">
        <v>62</v>
      </c>
      <c r="D47" s="122"/>
      <c r="E47" s="93">
        <v>4</v>
      </c>
      <c r="F47" s="93">
        <f t="shared" si="20"/>
        <v>0</v>
      </c>
      <c r="G47" s="97"/>
      <c r="H47" s="94"/>
      <c r="I47" s="94"/>
    </row>
    <row r="48" spans="1:15">
      <c r="C48" s="102"/>
      <c r="D48" s="122"/>
      <c r="E48" s="93"/>
      <c r="F48" s="93">
        <f t="shared" si="20"/>
        <v>0</v>
      </c>
      <c r="G48" s="94"/>
      <c r="H48" s="94"/>
      <c r="I48" s="94"/>
    </row>
    <row r="49" spans="3:11">
      <c r="C49" s="102" t="s">
        <v>81</v>
      </c>
      <c r="D49" s="122"/>
      <c r="E49" s="93">
        <v>6</v>
      </c>
      <c r="F49" s="93">
        <f t="shared" si="20"/>
        <v>0</v>
      </c>
      <c r="G49" s="94"/>
      <c r="H49" s="94"/>
      <c r="I49" s="94"/>
    </row>
    <row r="50" spans="3:11">
      <c r="C50" s="102" t="s">
        <v>45</v>
      </c>
      <c r="D50" s="122"/>
      <c r="E50" s="93">
        <v>4</v>
      </c>
      <c r="F50" s="93">
        <f t="shared" si="20"/>
        <v>0</v>
      </c>
      <c r="G50" s="97"/>
      <c r="H50" s="94"/>
      <c r="I50" s="94"/>
    </row>
    <row r="51" spans="3:11">
      <c r="C51" s="102"/>
      <c r="D51" s="122"/>
      <c r="E51" s="93"/>
      <c r="F51" s="93">
        <f t="shared" si="20"/>
        <v>0</v>
      </c>
      <c r="G51" s="97"/>
      <c r="H51" s="94" t="s">
        <v>67</v>
      </c>
      <c r="I51" s="94">
        <v>1</v>
      </c>
      <c r="J51" s="93"/>
    </row>
    <row r="52" spans="3:11">
      <c r="C52" s="154"/>
      <c r="D52" s="122"/>
      <c r="E52" s="93"/>
      <c r="F52" s="93">
        <f t="shared" si="20"/>
        <v>0</v>
      </c>
      <c r="G52" s="97"/>
      <c r="H52" s="141" t="s">
        <v>114</v>
      </c>
      <c r="I52" s="94">
        <v>0</v>
      </c>
    </row>
    <row r="53" spans="3:11">
      <c r="C53" s="154"/>
      <c r="D53" s="122"/>
      <c r="E53" s="93"/>
      <c r="F53" s="93">
        <f t="shared" si="20"/>
        <v>0</v>
      </c>
      <c r="G53" s="97"/>
      <c r="H53" s="94" t="s">
        <v>68</v>
      </c>
      <c r="I53" s="94">
        <v>1.5</v>
      </c>
      <c r="K53" s="80" t="e">
        <f>#REF!*1.3</f>
        <v>#REF!</v>
      </c>
    </row>
    <row r="54" spans="3:11">
      <c r="C54" s="154"/>
      <c r="D54" s="122"/>
      <c r="E54" s="93"/>
      <c r="F54" s="93">
        <f t="shared" si="20"/>
        <v>0</v>
      </c>
      <c r="G54" s="97"/>
      <c r="H54" s="94" t="s">
        <v>69</v>
      </c>
      <c r="I54" s="94">
        <v>1</v>
      </c>
    </row>
    <row r="55" spans="3:11">
      <c r="C55" s="102"/>
      <c r="D55" s="122"/>
      <c r="E55" s="93"/>
      <c r="F55" s="93">
        <f t="shared" si="20"/>
        <v>0</v>
      </c>
      <c r="G55" s="97"/>
      <c r="H55" s="94" t="s">
        <v>70</v>
      </c>
      <c r="I55" s="94">
        <v>2</v>
      </c>
    </row>
    <row r="56" spans="3:11">
      <c r="C56" s="102" t="s">
        <v>84</v>
      </c>
      <c r="D56" s="122">
        <v>100000</v>
      </c>
      <c r="E56" s="93">
        <v>1</v>
      </c>
      <c r="F56" s="93">
        <f t="shared" si="20"/>
        <v>100000</v>
      </c>
      <c r="G56" s="97"/>
      <c r="H56" s="94" t="s">
        <v>71</v>
      </c>
      <c r="I56" s="94">
        <v>0.3</v>
      </c>
    </row>
    <row r="57" spans="3:11">
      <c r="C57" s="102"/>
      <c r="D57" s="122"/>
      <c r="E57" s="93"/>
      <c r="F57" s="93">
        <f t="shared" si="20"/>
        <v>0</v>
      </c>
      <c r="G57" s="97"/>
      <c r="H57" s="94" t="s">
        <v>72</v>
      </c>
      <c r="I57" s="94">
        <v>0.3</v>
      </c>
    </row>
    <row r="58" spans="3:11">
      <c r="C58" s="102" t="s">
        <v>63</v>
      </c>
      <c r="D58" s="122"/>
      <c r="E58" s="93">
        <v>6</v>
      </c>
      <c r="F58" s="93">
        <f t="shared" si="20"/>
        <v>0</v>
      </c>
      <c r="G58" s="97"/>
      <c r="H58" s="94" t="s">
        <v>73</v>
      </c>
      <c r="I58" s="94">
        <v>1</v>
      </c>
    </row>
    <row r="59" spans="3:11">
      <c r="C59" s="102" t="s">
        <v>64</v>
      </c>
      <c r="D59" s="122"/>
      <c r="E59" s="93">
        <v>4</v>
      </c>
      <c r="F59" s="93">
        <f t="shared" si="20"/>
        <v>0</v>
      </c>
      <c r="G59" s="97"/>
      <c r="H59" s="94" t="s">
        <v>74</v>
      </c>
      <c r="I59" s="94">
        <v>4</v>
      </c>
    </row>
    <row r="60" spans="3:11">
      <c r="C60" s="102"/>
      <c r="D60" s="93"/>
      <c r="E60" s="93"/>
      <c r="F60" s="93">
        <f t="shared" si="20"/>
        <v>0</v>
      </c>
      <c r="G60" s="97"/>
      <c r="H60" s="94" t="s">
        <v>75</v>
      </c>
      <c r="I60" s="94">
        <v>1</v>
      </c>
    </row>
    <row r="61" spans="3:11">
      <c r="C61" s="102" t="s">
        <v>174</v>
      </c>
      <c r="D61" s="122">
        <f>15000*4*1.4</f>
        <v>84000</v>
      </c>
      <c r="E61" s="93"/>
      <c r="F61" s="93">
        <f t="shared" si="20"/>
        <v>0</v>
      </c>
      <c r="G61" s="97"/>
      <c r="H61" s="94" t="s">
        <v>78</v>
      </c>
      <c r="I61" s="94">
        <v>1</v>
      </c>
    </row>
    <row r="62" spans="3:11">
      <c r="C62" s="102" t="s">
        <v>168</v>
      </c>
      <c r="D62" s="122">
        <f>45000*4</f>
        <v>180000</v>
      </c>
      <c r="E62" s="93">
        <v>0</v>
      </c>
      <c r="F62" s="93">
        <f t="shared" si="20"/>
        <v>0</v>
      </c>
      <c r="G62" s="97"/>
      <c r="H62" s="120" t="s">
        <v>79</v>
      </c>
      <c r="I62" s="94">
        <v>1</v>
      </c>
    </row>
    <row r="63" spans="3:11">
      <c r="C63" s="102" t="s">
        <v>11</v>
      </c>
      <c r="D63" s="122">
        <f>7500*4</f>
        <v>30000</v>
      </c>
      <c r="E63" s="93">
        <f>6*2</f>
        <v>12</v>
      </c>
      <c r="F63" s="93">
        <f t="shared" si="20"/>
        <v>360000</v>
      </c>
      <c r="G63" s="97"/>
      <c r="H63" s="94" t="s">
        <v>80</v>
      </c>
      <c r="I63" s="94">
        <v>0.5</v>
      </c>
    </row>
    <row r="64" spans="3:11">
      <c r="C64" s="102" t="s">
        <v>12</v>
      </c>
      <c r="D64" s="122">
        <f>5000*2*4</f>
        <v>40000</v>
      </c>
      <c r="E64" s="93">
        <f>2*6</f>
        <v>12</v>
      </c>
      <c r="F64" s="93">
        <f t="shared" si="20"/>
        <v>480000</v>
      </c>
      <c r="G64" s="97"/>
      <c r="H64" s="94" t="s">
        <v>82</v>
      </c>
      <c r="I64" s="94">
        <v>3</v>
      </c>
    </row>
    <row r="65" spans="1:10">
      <c r="C65" s="102" t="s">
        <v>66</v>
      </c>
      <c r="D65" s="122"/>
      <c r="E65" s="93">
        <v>6</v>
      </c>
      <c r="F65" s="93">
        <f t="shared" si="20"/>
        <v>0</v>
      </c>
      <c r="G65" s="97"/>
      <c r="H65" s="120" t="s">
        <v>83</v>
      </c>
      <c r="I65" s="94">
        <v>2</v>
      </c>
    </row>
    <row r="66" spans="1:10">
      <c r="C66" s="102" t="s">
        <v>13</v>
      </c>
      <c r="D66" s="122">
        <f>2*10000*4</f>
        <v>80000</v>
      </c>
      <c r="E66" s="93">
        <v>6</v>
      </c>
      <c r="F66" s="93">
        <f t="shared" si="20"/>
        <v>480000</v>
      </c>
      <c r="G66" s="94"/>
      <c r="H66" s="94"/>
      <c r="I66" s="94"/>
    </row>
    <row r="67" spans="1:10">
      <c r="C67" s="101" t="s">
        <v>14</v>
      </c>
      <c r="D67" s="93">
        <v>15000</v>
      </c>
      <c r="E67" s="93">
        <v>2</v>
      </c>
      <c r="F67" s="93">
        <f t="shared" si="20"/>
        <v>30000</v>
      </c>
      <c r="G67" s="94"/>
      <c r="H67" s="94"/>
      <c r="I67" s="94"/>
    </row>
    <row r="68" spans="1:10">
      <c r="C68" s="101" t="s">
        <v>169</v>
      </c>
      <c r="D68" s="93" t="e">
        <f>(#REF!*0.15)*0.025*(6/12)</f>
        <v>#REF!</v>
      </c>
      <c r="E68" s="93">
        <v>1</v>
      </c>
      <c r="F68" s="93" t="e">
        <f t="shared" si="20"/>
        <v>#REF!</v>
      </c>
      <c r="G68" s="94"/>
      <c r="H68" s="94"/>
      <c r="I68" s="94"/>
    </row>
    <row r="69" spans="1:10">
      <c r="C69" s="101" t="s">
        <v>170</v>
      </c>
      <c r="D69" s="93" t="e">
        <f>(#REF!*0.05)*0.025*1</f>
        <v>#REF!</v>
      </c>
      <c r="E69" s="93">
        <v>1</v>
      </c>
      <c r="F69" s="93">
        <v>194062.5</v>
      </c>
      <c r="G69" s="94"/>
      <c r="H69" s="141" t="s">
        <v>91</v>
      </c>
      <c r="I69" s="94">
        <f>(((((11672640.09*0.15)*0.025)/12)*(9+3))*1.12)+250</f>
        <v>49275.088378000008</v>
      </c>
    </row>
    <row r="70" spans="1:10">
      <c r="C70" s="119" t="s">
        <v>58</v>
      </c>
      <c r="D70" s="93">
        <v>30000</v>
      </c>
      <c r="E70" s="93">
        <v>1</v>
      </c>
      <c r="F70" s="93">
        <f t="shared" si="20"/>
        <v>30000</v>
      </c>
      <c r="G70" s="94"/>
      <c r="H70" s="141" t="s">
        <v>106</v>
      </c>
      <c r="I70" s="94">
        <f>(((11672640.09*0.02)*0.005)*1.12)+250</f>
        <v>1557.3356900800004</v>
      </c>
    </row>
    <row r="71" spans="1:10">
      <c r="C71" s="119" t="s">
        <v>171</v>
      </c>
      <c r="D71" s="93">
        <v>60000</v>
      </c>
      <c r="E71" s="93">
        <v>1</v>
      </c>
      <c r="F71" s="93">
        <f t="shared" si="20"/>
        <v>60000</v>
      </c>
      <c r="G71" s="94"/>
      <c r="H71" s="141" t="s">
        <v>107</v>
      </c>
      <c r="I71" s="94">
        <f>(((((1672640.09*0.2)*0.025)/12)*(9))*1.12)+250</f>
        <v>7275.0883780000022</v>
      </c>
    </row>
    <row r="72" spans="1:10">
      <c r="C72" s="119" t="s">
        <v>172</v>
      </c>
      <c r="D72" s="93">
        <v>22000</v>
      </c>
      <c r="E72" s="93"/>
      <c r="F72" s="93"/>
      <c r="G72" s="94"/>
      <c r="H72" s="141" t="s">
        <v>108</v>
      </c>
      <c r="I72" s="94">
        <f>0.015*10000000</f>
        <v>150000</v>
      </c>
    </row>
    <row r="73" spans="1:10">
      <c r="C73" s="92" t="s">
        <v>173</v>
      </c>
      <c r="D73" s="93" t="e">
        <f>(#REF!*0.1)*0.25</f>
        <v>#REF!</v>
      </c>
      <c r="E73" s="93"/>
      <c r="F73" s="93"/>
      <c r="G73" s="94"/>
      <c r="H73" s="94"/>
      <c r="I73" s="94"/>
    </row>
    <row r="74" spans="1:10">
      <c r="C74" s="92"/>
      <c r="D74" s="93"/>
      <c r="E74" s="93"/>
      <c r="F74" s="93"/>
      <c r="G74" s="94"/>
      <c r="H74" s="94"/>
      <c r="I74" s="94"/>
    </row>
    <row r="75" spans="1:10">
      <c r="C75" s="102" t="s">
        <v>35</v>
      </c>
      <c r="D75" s="93">
        <v>5000</v>
      </c>
      <c r="E75" s="93">
        <v>5</v>
      </c>
      <c r="F75" s="93">
        <f t="shared" si="20"/>
        <v>25000</v>
      </c>
      <c r="G75" s="94"/>
      <c r="H75" s="94"/>
      <c r="I75" s="141" t="s">
        <v>162</v>
      </c>
      <c r="J75" s="80">
        <f>10000</f>
        <v>10000</v>
      </c>
    </row>
    <row r="76" spans="1:10">
      <c r="C76" s="102" t="s">
        <v>60</v>
      </c>
      <c r="D76" s="93">
        <v>10000</v>
      </c>
      <c r="E76" s="93"/>
      <c r="F76" s="93">
        <f t="shared" si="20"/>
        <v>0</v>
      </c>
      <c r="G76" s="94"/>
      <c r="H76" s="94"/>
      <c r="I76" s="141" t="s">
        <v>146</v>
      </c>
      <c r="J76" s="80">
        <f>(7500+3600)*1.3</f>
        <v>14430</v>
      </c>
    </row>
    <row r="77" spans="1:10" s="118" customFormat="1">
      <c r="A77" s="116"/>
      <c r="B77" s="92"/>
      <c r="C77" s="102"/>
      <c r="D77" s="93"/>
      <c r="E77" s="93">
        <v>7</v>
      </c>
      <c r="F77" s="93">
        <f t="shared" si="20"/>
        <v>0</v>
      </c>
      <c r="G77" s="94"/>
      <c r="H77" s="94"/>
      <c r="I77" s="141" t="s">
        <v>147</v>
      </c>
      <c r="J77" s="118">
        <f>(18000+3600)*1.3</f>
        <v>28080</v>
      </c>
    </row>
    <row r="78" spans="1:10">
      <c r="B78" s="117"/>
      <c r="C78" s="102"/>
      <c r="D78" s="93"/>
      <c r="E78" s="93">
        <v>1</v>
      </c>
      <c r="F78" s="93">
        <f t="shared" si="20"/>
        <v>0</v>
      </c>
      <c r="G78" s="97"/>
      <c r="H78" s="97"/>
      <c r="I78" s="97" t="s">
        <v>142</v>
      </c>
      <c r="J78" s="80">
        <f>40000*2</f>
        <v>80000</v>
      </c>
    </row>
    <row r="79" spans="1:10">
      <c r="C79" s="102"/>
      <c r="D79" s="93"/>
      <c r="E79" s="93">
        <v>1</v>
      </c>
      <c r="F79" s="93">
        <f t="shared" si="20"/>
        <v>0</v>
      </c>
      <c r="G79" s="94"/>
      <c r="H79" s="94"/>
      <c r="I79" s="141" t="s">
        <v>283</v>
      </c>
      <c r="J79" s="80">
        <f>20000*2</f>
        <v>40000</v>
      </c>
    </row>
    <row r="80" spans="1:10">
      <c r="C80" s="92" t="s">
        <v>6</v>
      </c>
      <c r="D80" s="92" t="e">
        <f>SUM(D43:D79)</f>
        <v>#REF!</v>
      </c>
      <c r="E80" s="93"/>
      <c r="F80" s="95" t="e">
        <f>SUM(F43:F79)</f>
        <v>#REF!</v>
      </c>
      <c r="G80" s="94"/>
      <c r="H80" s="94"/>
      <c r="I80" s="141" t="s">
        <v>137</v>
      </c>
      <c r="J80" s="80">
        <f>25000*2</f>
        <v>50000</v>
      </c>
    </row>
    <row r="81" spans="3:10">
      <c r="C81" s="92"/>
      <c r="D81" s="92" t="e">
        <f>D80/#REF!</f>
        <v>#REF!</v>
      </c>
      <c r="E81" s="93"/>
      <c r="F81" s="93"/>
      <c r="G81" s="94"/>
      <c r="H81" s="94"/>
      <c r="I81" s="141" t="s">
        <v>284</v>
      </c>
      <c r="J81" s="80">
        <f>40000*2</f>
        <v>80000</v>
      </c>
    </row>
    <row r="82" spans="3:10">
      <c r="C82" s="92" t="s">
        <v>0</v>
      </c>
      <c r="D82" s="92"/>
      <c r="E82" s="93"/>
      <c r="F82" s="93">
        <f>G40</f>
        <v>0</v>
      </c>
      <c r="G82" s="94"/>
      <c r="H82" s="94"/>
      <c r="I82" s="141" t="s">
        <v>285</v>
      </c>
      <c r="J82" s="80">
        <f>30000*2</f>
        <v>60000</v>
      </c>
    </row>
    <row r="83" spans="3:10">
      <c r="C83" s="92" t="s">
        <v>46</v>
      </c>
      <c r="D83" s="92"/>
      <c r="E83" s="93"/>
      <c r="F83" s="93">
        <f>SUM(F43:F66,F75:F79)</f>
        <v>2251400</v>
      </c>
      <c r="G83" s="94"/>
      <c r="H83" s="94"/>
      <c r="I83" s="141" t="s">
        <v>139</v>
      </c>
      <c r="J83" s="80">
        <f>5000*2</f>
        <v>10000</v>
      </c>
    </row>
    <row r="84" spans="3:10">
      <c r="C84" s="92" t="s">
        <v>47</v>
      </c>
      <c r="D84" s="92"/>
      <c r="E84" s="93"/>
      <c r="F84" s="93" t="e">
        <f>SUM(F67:F72)</f>
        <v>#REF!</v>
      </c>
      <c r="G84" s="94"/>
      <c r="H84" s="94"/>
      <c r="I84" s="141" t="s">
        <v>286</v>
      </c>
      <c r="J84" s="93">
        <f>(4500000*0.15)*0.025*(6/12)</f>
        <v>8437.5</v>
      </c>
    </row>
    <row r="85" spans="3:10">
      <c r="C85" s="92" t="s">
        <v>15</v>
      </c>
      <c r="D85" s="92"/>
      <c r="E85" s="93"/>
      <c r="F85" s="93" t="e">
        <f>SUM(F82:F84)</f>
        <v>#REF!</v>
      </c>
      <c r="G85" s="94"/>
      <c r="H85" s="94"/>
      <c r="I85" s="141" t="s">
        <v>287</v>
      </c>
      <c r="J85" s="93">
        <f>(4500000*0.1)*0.025*1</f>
        <v>11250</v>
      </c>
    </row>
    <row r="86" spans="3:10" ht="13.5" thickBot="1">
      <c r="C86" s="92" t="s">
        <v>16</v>
      </c>
      <c r="D86" s="92"/>
      <c r="E86" s="93"/>
      <c r="F86" s="93">
        <f>F82*10%</f>
        <v>0</v>
      </c>
      <c r="G86" s="94"/>
      <c r="H86" s="134" t="e">
        <f>F84/F82</f>
        <v>#REF!</v>
      </c>
      <c r="I86" s="141" t="s">
        <v>288</v>
      </c>
      <c r="J86" s="80">
        <f>20000*2</f>
        <v>40000</v>
      </c>
    </row>
    <row r="87" spans="3:10">
      <c r="C87" s="92"/>
      <c r="D87" s="187" t="s">
        <v>17</v>
      </c>
      <c r="E87" s="188">
        <f>SUM(E88:E90)</f>
        <v>0.2</v>
      </c>
      <c r="F87" s="93"/>
      <c r="G87" s="94"/>
      <c r="H87" s="94"/>
      <c r="I87" s="141" t="s">
        <v>173</v>
      </c>
      <c r="J87" s="93">
        <f>(4500000*0.1)*0.25</f>
        <v>112500</v>
      </c>
    </row>
    <row r="88" spans="3:10">
      <c r="C88" s="92"/>
      <c r="D88" s="189" t="s">
        <v>48</v>
      </c>
      <c r="E88" s="190">
        <v>0.13</v>
      </c>
      <c r="F88" s="93"/>
      <c r="G88" s="94"/>
      <c r="H88" s="94"/>
      <c r="I88" s="141" t="s">
        <v>172</v>
      </c>
      <c r="J88" s="80">
        <v>15000</v>
      </c>
    </row>
    <row r="89" spans="3:10">
      <c r="C89" s="92"/>
      <c r="D89" s="189" t="s">
        <v>49</v>
      </c>
      <c r="E89" s="190">
        <v>0</v>
      </c>
      <c r="F89" s="93"/>
      <c r="G89" s="94"/>
      <c r="H89" s="134"/>
      <c r="I89" s="94"/>
      <c r="J89" s="80">
        <f>SUM(J75:L88)</f>
        <v>559697.5</v>
      </c>
    </row>
    <row r="90" spans="3:10" ht="13.5" thickBot="1">
      <c r="C90" s="92"/>
      <c r="D90" s="191" t="s">
        <v>16</v>
      </c>
      <c r="E90" s="192">
        <v>7.0000000000000007E-2</v>
      </c>
      <c r="F90" s="93"/>
      <c r="G90" s="94"/>
      <c r="H90" s="94"/>
      <c r="I90" s="94"/>
    </row>
    <row r="91" spans="3:10">
      <c r="C91" s="92" t="s">
        <v>6</v>
      </c>
      <c r="D91" s="92"/>
      <c r="E91" s="93"/>
      <c r="F91" s="95" t="e">
        <f>F85+F86</f>
        <v>#REF!</v>
      </c>
      <c r="G91" s="94"/>
      <c r="H91" s="94"/>
      <c r="I91" s="94"/>
    </row>
    <row r="92" spans="3:10">
      <c r="E92" s="94"/>
      <c r="G92" s="94"/>
      <c r="H92" s="94"/>
      <c r="I92" s="94"/>
      <c r="J92" s="80">
        <f>J89/4500000</f>
        <v>0.12437722222222222</v>
      </c>
    </row>
    <row r="93" spans="3:10">
      <c r="E93" s="94">
        <f>1+E87</f>
        <v>1.2</v>
      </c>
      <c r="G93" s="94"/>
      <c r="H93" s="94"/>
      <c r="I93" s="94"/>
    </row>
    <row r="94" spans="3:10">
      <c r="E94" s="94"/>
      <c r="G94" s="94"/>
      <c r="H94" s="94"/>
      <c r="I94" s="94"/>
    </row>
    <row r="95" spans="3:10">
      <c r="C95" s="158" t="s">
        <v>128</v>
      </c>
      <c r="E95" s="94"/>
      <c r="G95" s="94"/>
      <c r="H95" s="94"/>
      <c r="I95" s="94"/>
    </row>
    <row r="96" spans="3:10">
      <c r="C96" s="158" t="s">
        <v>129</v>
      </c>
      <c r="D96" s="84">
        <f>(15000*1.5)*1.5</f>
        <v>33750</v>
      </c>
      <c r="E96" s="94"/>
      <c r="G96" s="94"/>
      <c r="H96" s="94">
        <v>10000</v>
      </c>
      <c r="I96" s="94">
        <f>(135/5)*90</f>
        <v>2430</v>
      </c>
    </row>
    <row r="97" spans="3:9">
      <c r="C97" s="158" t="s">
        <v>130</v>
      </c>
      <c r="D97" s="84">
        <f>7500*9*1.5*1.5</f>
        <v>151875</v>
      </c>
      <c r="E97" s="94"/>
      <c r="G97" s="94"/>
      <c r="H97" s="94">
        <f>8000*7</f>
        <v>56000</v>
      </c>
      <c r="I97" s="94"/>
    </row>
    <row r="98" spans="3:9">
      <c r="C98" s="158" t="s">
        <v>131</v>
      </c>
      <c r="D98" s="84">
        <f>11000*1.5*1.5</f>
        <v>24750</v>
      </c>
      <c r="H98" s="96">
        <v>10000</v>
      </c>
    </row>
    <row r="99" spans="3:9">
      <c r="C99" s="158" t="s">
        <v>132</v>
      </c>
      <c r="D99" s="84">
        <f>8000*1.5*1.5</f>
        <v>18000</v>
      </c>
      <c r="H99" s="96">
        <v>5000</v>
      </c>
    </row>
    <row r="100" spans="3:9">
      <c r="C100" s="158" t="s">
        <v>133</v>
      </c>
      <c r="D100" s="84">
        <f>7500*1.5*1.5</f>
        <v>16875</v>
      </c>
      <c r="H100" s="96">
        <v>10000</v>
      </c>
    </row>
    <row r="101" spans="3:9">
      <c r="C101" s="158" t="s">
        <v>134</v>
      </c>
      <c r="D101" s="84">
        <f>14000*1.5*1.5</f>
        <v>31500</v>
      </c>
    </row>
    <row r="102" spans="3:9">
      <c r="C102" s="158" t="s">
        <v>135</v>
      </c>
      <c r="D102" s="84">
        <f>12000*1.5*1.5</f>
        <v>27000</v>
      </c>
    </row>
    <row r="103" spans="3:9">
      <c r="C103" s="158" t="s">
        <v>136</v>
      </c>
      <c r="D103" s="84">
        <f>7500*1.5*1.5</f>
        <v>16875</v>
      </c>
      <c r="H103" s="96">
        <v>5000</v>
      </c>
    </row>
    <row r="104" spans="3:9">
      <c r="C104" s="158" t="s">
        <v>137</v>
      </c>
      <c r="D104" s="84">
        <f>25000*1.5*1.5</f>
        <v>56250</v>
      </c>
    </row>
    <row r="105" spans="3:9">
      <c r="C105" s="158" t="s">
        <v>138</v>
      </c>
      <c r="D105" s="84">
        <f>2*150*45</f>
        <v>13500</v>
      </c>
    </row>
    <row r="106" spans="3:9">
      <c r="C106" s="158" t="s">
        <v>139</v>
      </c>
      <c r="D106" s="84">
        <f>7000*2</f>
        <v>14000</v>
      </c>
    </row>
    <row r="107" spans="3:9">
      <c r="C107" s="158" t="s">
        <v>140</v>
      </c>
      <c r="D107" s="84">
        <f>17*3*40*40</f>
        <v>81600</v>
      </c>
      <c r="H107" s="96">
        <f>190*40</f>
        <v>7600</v>
      </c>
    </row>
    <row r="108" spans="3:9">
      <c r="C108" s="158" t="s">
        <v>141</v>
      </c>
      <c r="D108" s="84">
        <f>3*27000*1.5</f>
        <v>121500</v>
      </c>
    </row>
    <row r="109" spans="3:9">
      <c r="C109" s="158" t="s">
        <v>142</v>
      </c>
      <c r="D109" s="84">
        <v>100000</v>
      </c>
      <c r="E109" s="96">
        <f>190/5</f>
        <v>38</v>
      </c>
      <c r="H109" s="96">
        <f>E109*83</f>
        <v>3154</v>
      </c>
    </row>
    <row r="110" spans="3:9">
      <c r="C110" s="158" t="s">
        <v>143</v>
      </c>
      <c r="D110" s="84">
        <v>18000</v>
      </c>
    </row>
    <row r="111" spans="3:9">
      <c r="C111" s="158" t="s">
        <v>144</v>
      </c>
      <c r="D111" s="158">
        <f>50000*1.5</f>
        <v>75000</v>
      </c>
    </row>
    <row r="112" spans="3:9">
      <c r="C112" s="158"/>
      <c r="D112" s="84">
        <f>SUM(D96:D111)</f>
        <v>800475</v>
      </c>
    </row>
    <row r="113" spans="4:5">
      <c r="D113" s="84">
        <f>D112/3340413.92</f>
        <v>0.23963347632080279</v>
      </c>
      <c r="E113" s="96">
        <v>3340413.92</v>
      </c>
    </row>
  </sheetData>
  <sortState ref="A12:K33">
    <sortCondition ref="B12:B33"/>
  </sortState>
  <mergeCells count="19">
    <mergeCell ref="C18:E18"/>
    <mergeCell ref="H18:I18"/>
    <mergeCell ref="C10:I10"/>
    <mergeCell ref="B7:I7"/>
    <mergeCell ref="B5:I6"/>
    <mergeCell ref="B1:I1"/>
    <mergeCell ref="B3:I3"/>
    <mergeCell ref="F9:G9"/>
    <mergeCell ref="B9:C9"/>
    <mergeCell ref="B8:I8"/>
    <mergeCell ref="C35:E35"/>
    <mergeCell ref="H35:I35"/>
    <mergeCell ref="C27:E27"/>
    <mergeCell ref="C34:E34"/>
    <mergeCell ref="C19:I19"/>
    <mergeCell ref="C28:I28"/>
    <mergeCell ref="H27:I27"/>
    <mergeCell ref="H32:I32"/>
    <mergeCell ref="H34:I34"/>
  </mergeCells>
  <phoneticPr fontId="0" type="noConversion"/>
  <conditionalFormatting sqref="N11:N38">
    <cfRule type="dataBar" priority="42">
      <dataBar>
        <cfvo type="min" val="0"/>
        <cfvo type="max" val="0"/>
        <color rgb="FFFF555A"/>
      </dataBar>
    </cfRule>
  </conditionalFormatting>
  <printOptions horizontalCentered="1" verticalCentered="1"/>
  <pageMargins left="0.7" right="0.7" top="0.75" bottom="0.75" header="0.3" footer="0.3"/>
  <pageSetup scale="61" orientation="portrait" horizontalDpi="4294967293" verticalDpi="300" r:id="rId1"/>
  <headerFooter alignWithMargins="0"/>
  <rowBreaks count="1" manualBreakCount="1">
    <brk id="29" min="1" max="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64">
    <tabColor rgb="FFFF0000"/>
    <pageSetUpPr fitToPage="1"/>
  </sheetPr>
  <dimension ref="A1:G65"/>
  <sheetViews>
    <sheetView showGridLines="0" showZeros="0" zoomScale="75" zoomScaleNormal="75" workbookViewId="0">
      <pane ySplit="9" topLeftCell="A10" activePane="bottomLeft" state="frozen"/>
      <selection activeCell="G65" sqref="G65"/>
      <selection pane="bottomLeft" activeCell="L33" sqref="L33"/>
    </sheetView>
  </sheetViews>
  <sheetFormatPr baseColWidth="10" defaultColWidth="9.140625" defaultRowHeight="15.75"/>
  <cols>
    <col min="1" max="1" width="9" style="4" customWidth="1"/>
    <col min="2" max="2" width="10.42578125" style="4" customWidth="1"/>
    <col min="3" max="3" width="44" style="40" customWidth="1"/>
    <col min="4" max="4" width="15.7109375" style="39" customWidth="1"/>
    <col min="5" max="5" width="21.42578125" style="46" customWidth="1"/>
    <col min="6" max="7" width="15.7109375" style="39" customWidth="1"/>
    <col min="8" max="16384" width="9.140625" style="4"/>
  </cols>
  <sheetData>
    <row r="1" spans="1:7" ht="20.25">
      <c r="A1" s="10" t="s">
        <v>39</v>
      </c>
      <c r="B1" s="22"/>
      <c r="C1" s="38"/>
      <c r="D1" s="38"/>
      <c r="E1" s="38"/>
      <c r="F1" s="38"/>
      <c r="G1" s="38"/>
    </row>
    <row r="2" spans="1:7" ht="13.5" customHeight="1">
      <c r="A2" s="23" t="s">
        <v>40</v>
      </c>
      <c r="B2" s="22"/>
      <c r="C2" s="38"/>
      <c r="D2" s="38"/>
      <c r="E2" s="38"/>
      <c r="F2" s="38"/>
      <c r="G2" s="38"/>
    </row>
    <row r="3" spans="1:7" ht="13.5" customHeight="1">
      <c r="A3" s="24" t="s">
        <v>41</v>
      </c>
      <c r="B3" s="22"/>
      <c r="C3" s="38"/>
      <c r="D3" s="38"/>
      <c r="E3" s="38"/>
      <c r="F3" s="38"/>
      <c r="G3" s="38"/>
    </row>
    <row r="4" spans="1:7" ht="13.5" customHeight="1">
      <c r="A4" s="24"/>
      <c r="B4" s="22">
        <v>100</v>
      </c>
      <c r="C4" s="324">
        <f>IF(ISNA(VLOOKUP(B4,PRESUPUESTOS,2,FALSE)),0,VLOOKUP(B4,PRESUPUESTOS,2,FALSE))</f>
        <v>0</v>
      </c>
      <c r="D4" s="324"/>
      <c r="E4" s="324"/>
      <c r="F4" s="324"/>
      <c r="G4" s="38"/>
    </row>
    <row r="5" spans="1:7" ht="13.5" customHeight="1">
      <c r="A5" s="24"/>
      <c r="B5" s="22"/>
      <c r="C5" s="22">
        <f>IF(ISNA(VLOOKUP(B5,PRESUPUESTOS,2,FALSE)),0,VLOOKUP(B5,PRESUPUESTOS,2,FALSE))</f>
        <v>0</v>
      </c>
      <c r="D5" s="38"/>
      <c r="E5" s="38"/>
      <c r="F5" s="38"/>
      <c r="G5" s="38"/>
    </row>
    <row r="6" spans="1:7" ht="13.5" customHeight="1">
      <c r="A6" s="32" t="s">
        <v>43</v>
      </c>
      <c r="C6" s="8" t="s">
        <v>89</v>
      </c>
      <c r="E6" s="46" t="s">
        <v>44</v>
      </c>
      <c r="F6" s="81" t="s">
        <v>38</v>
      </c>
    </row>
    <row r="7" spans="1:7" ht="16.5" thickBot="1">
      <c r="A7" s="20"/>
      <c r="B7" s="5"/>
      <c r="C7" s="41"/>
      <c r="D7" s="42"/>
      <c r="E7" s="20"/>
      <c r="F7" s="69"/>
      <c r="G7" s="43"/>
    </row>
    <row r="8" spans="1:7">
      <c r="D8" s="44"/>
      <c r="E8" s="45" t="s">
        <v>26</v>
      </c>
      <c r="G8" s="46"/>
    </row>
    <row r="9" spans="1:7">
      <c r="A9" s="9" t="s">
        <v>2</v>
      </c>
      <c r="B9" s="9"/>
      <c r="C9" s="9" t="s">
        <v>3</v>
      </c>
      <c r="D9" s="47" t="s">
        <v>4</v>
      </c>
      <c r="E9" s="47" t="s">
        <v>23</v>
      </c>
      <c r="F9" s="47" t="s">
        <v>5</v>
      </c>
      <c r="G9" s="47" t="s">
        <v>19</v>
      </c>
    </row>
    <row r="10" spans="1:7">
      <c r="B10" s="72" t="s">
        <v>25</v>
      </c>
      <c r="C10" s="48" t="s">
        <v>9</v>
      </c>
      <c r="E10" s="49"/>
      <c r="F10" s="68"/>
    </row>
    <row r="11" spans="1:7">
      <c r="A11" s="4">
        <v>1</v>
      </c>
      <c r="B11" s="70"/>
      <c r="C11" s="40" t="e">
        <f t="shared" ref="C11:C20" si="0">IF(ISNA(VLOOKUP(B11,CU_MATERIALES,2,FALSE)),0,VLOOKUP(B11,CU_MATERIALES,2,FALSE))</f>
        <v>#REF!</v>
      </c>
      <c r="D11" s="49" t="e">
        <f t="shared" ref="D11:D20" si="1">IF(ISNA(VLOOKUP(B11,CU_MATERIALES,3,FALSE)),0,VLOOKUP(B11,CU_MATERIALES,3,FALSE))</f>
        <v>#REF!</v>
      </c>
      <c r="E11" s="11" t="e">
        <f t="shared" ref="E11:E20" si="2">IF(ISNA(VLOOKUP(B11,CU_MATERIALES,3,FALSE)),0,VLOOKUP(B11,CU_MATERIALES,4,FALSE))</f>
        <v>#REF!</v>
      </c>
      <c r="F11" s="73">
        <v>1</v>
      </c>
      <c r="G11" s="50" t="e">
        <f t="shared" ref="G11:G20" si="3">ROUND(E11*F11,2)</f>
        <v>#REF!</v>
      </c>
    </row>
    <row r="12" spans="1:7">
      <c r="A12" s="4">
        <f t="shared" ref="A12:A20" si="4">+A11+1</f>
        <v>2</v>
      </c>
      <c r="B12" s="70"/>
      <c r="C12" s="40" t="e">
        <f t="shared" si="0"/>
        <v>#REF!</v>
      </c>
      <c r="D12" s="49" t="e">
        <f t="shared" si="1"/>
        <v>#REF!</v>
      </c>
      <c r="E12" s="11" t="e">
        <f t="shared" si="2"/>
        <v>#REF!</v>
      </c>
      <c r="F12" s="73"/>
      <c r="G12" s="50" t="e">
        <f t="shared" si="3"/>
        <v>#REF!</v>
      </c>
    </row>
    <row r="13" spans="1:7">
      <c r="A13" s="4">
        <f t="shared" si="4"/>
        <v>3</v>
      </c>
      <c r="B13" s="70"/>
      <c r="C13" s="40" t="e">
        <f t="shared" si="0"/>
        <v>#REF!</v>
      </c>
      <c r="D13" s="49" t="e">
        <f t="shared" si="1"/>
        <v>#REF!</v>
      </c>
      <c r="E13" s="11" t="e">
        <f t="shared" si="2"/>
        <v>#REF!</v>
      </c>
      <c r="F13" s="73"/>
      <c r="G13" s="50" t="e">
        <f t="shared" si="3"/>
        <v>#REF!</v>
      </c>
    </row>
    <row r="14" spans="1:7">
      <c r="A14" s="4">
        <f t="shared" si="4"/>
        <v>4</v>
      </c>
      <c r="B14" s="70"/>
      <c r="C14" s="40" t="e">
        <f t="shared" si="0"/>
        <v>#REF!</v>
      </c>
      <c r="D14" s="49" t="e">
        <f t="shared" si="1"/>
        <v>#REF!</v>
      </c>
      <c r="E14" s="11" t="e">
        <f t="shared" si="2"/>
        <v>#REF!</v>
      </c>
      <c r="F14" s="73"/>
      <c r="G14" s="50" t="e">
        <f t="shared" si="3"/>
        <v>#REF!</v>
      </c>
    </row>
    <row r="15" spans="1:7">
      <c r="A15" s="4">
        <f t="shared" si="4"/>
        <v>5</v>
      </c>
      <c r="B15" s="70"/>
      <c r="C15" s="40" t="e">
        <f t="shared" si="0"/>
        <v>#REF!</v>
      </c>
      <c r="D15" s="49" t="e">
        <f t="shared" si="1"/>
        <v>#REF!</v>
      </c>
      <c r="E15" s="11" t="e">
        <f t="shared" si="2"/>
        <v>#REF!</v>
      </c>
      <c r="F15" s="73"/>
      <c r="G15" s="50" t="e">
        <f t="shared" si="3"/>
        <v>#REF!</v>
      </c>
    </row>
    <row r="16" spans="1:7">
      <c r="A16" s="4">
        <f t="shared" si="4"/>
        <v>6</v>
      </c>
      <c r="B16" s="70"/>
      <c r="C16" s="40" t="e">
        <f t="shared" si="0"/>
        <v>#REF!</v>
      </c>
      <c r="D16" s="49" t="e">
        <f t="shared" si="1"/>
        <v>#REF!</v>
      </c>
      <c r="E16" s="11" t="e">
        <f t="shared" si="2"/>
        <v>#REF!</v>
      </c>
      <c r="F16" s="73"/>
      <c r="G16" s="50" t="e">
        <f t="shared" si="3"/>
        <v>#REF!</v>
      </c>
    </row>
    <row r="17" spans="1:7">
      <c r="A17" s="4">
        <f t="shared" si="4"/>
        <v>7</v>
      </c>
      <c r="B17" s="70"/>
      <c r="C17" s="40" t="e">
        <f t="shared" si="0"/>
        <v>#REF!</v>
      </c>
      <c r="D17" s="49" t="e">
        <f t="shared" si="1"/>
        <v>#REF!</v>
      </c>
      <c r="E17" s="11" t="e">
        <f t="shared" si="2"/>
        <v>#REF!</v>
      </c>
      <c r="F17" s="73"/>
      <c r="G17" s="50" t="e">
        <f t="shared" si="3"/>
        <v>#REF!</v>
      </c>
    </row>
    <row r="18" spans="1:7">
      <c r="A18" s="4">
        <f t="shared" si="4"/>
        <v>8</v>
      </c>
      <c r="B18" s="70"/>
      <c r="C18" s="40" t="e">
        <f t="shared" si="0"/>
        <v>#REF!</v>
      </c>
      <c r="D18" s="49" t="e">
        <f t="shared" si="1"/>
        <v>#REF!</v>
      </c>
      <c r="E18" s="11" t="e">
        <f t="shared" si="2"/>
        <v>#REF!</v>
      </c>
      <c r="F18" s="73"/>
      <c r="G18" s="50" t="e">
        <f t="shared" si="3"/>
        <v>#REF!</v>
      </c>
    </row>
    <row r="19" spans="1:7">
      <c r="A19" s="4">
        <f t="shared" si="4"/>
        <v>9</v>
      </c>
      <c r="B19" s="70"/>
      <c r="C19" s="40" t="e">
        <f t="shared" si="0"/>
        <v>#REF!</v>
      </c>
      <c r="D19" s="49" t="e">
        <f t="shared" si="1"/>
        <v>#REF!</v>
      </c>
      <c r="E19" s="11" t="e">
        <f t="shared" si="2"/>
        <v>#REF!</v>
      </c>
      <c r="F19" s="73"/>
      <c r="G19" s="50" t="e">
        <f t="shared" si="3"/>
        <v>#REF!</v>
      </c>
    </row>
    <row r="20" spans="1:7">
      <c r="A20" s="4">
        <f t="shared" si="4"/>
        <v>10</v>
      </c>
      <c r="B20" s="70"/>
      <c r="C20" s="40" t="e">
        <f t="shared" si="0"/>
        <v>#REF!</v>
      </c>
      <c r="D20" s="49" t="e">
        <f t="shared" si="1"/>
        <v>#REF!</v>
      </c>
      <c r="E20" s="11" t="e">
        <f t="shared" si="2"/>
        <v>#REF!</v>
      </c>
      <c r="F20" s="73"/>
      <c r="G20" s="50" t="e">
        <f t="shared" si="3"/>
        <v>#REF!</v>
      </c>
    </row>
    <row r="21" spans="1:7" ht="16.5" thickBot="1">
      <c r="A21" s="28"/>
      <c r="B21" s="28"/>
      <c r="C21" s="51" t="s">
        <v>28</v>
      </c>
      <c r="D21" s="52"/>
      <c r="E21" s="30"/>
      <c r="F21" s="75"/>
      <c r="G21" s="54" t="e">
        <f>ROUND(SUM(G11:G20),2)</f>
        <v>#REF!</v>
      </c>
    </row>
    <row r="22" spans="1:7" ht="16.5" thickTop="1">
      <c r="B22" s="72" t="s">
        <v>25</v>
      </c>
      <c r="C22" s="48" t="s">
        <v>29</v>
      </c>
      <c r="E22" s="11"/>
      <c r="F22" s="73"/>
      <c r="G22" s="50"/>
    </row>
    <row r="23" spans="1:7">
      <c r="A23" s="4">
        <v>1</v>
      </c>
      <c r="C23" s="40" t="e">
        <f t="shared" ref="C23:C33" si="5">IF(ISNA(VLOOKUP(B23,CU_MANO_DE_OBRA,2,FALSE)),0,VLOOKUP(B23,CU_MANO_DE_OBRA,2,FALSE))</f>
        <v>#REF!</v>
      </c>
      <c r="D23" s="49" t="e">
        <f t="shared" ref="D23:D33" si="6">IF(ISNA(VLOOKUP(B23,CU_MANO_DE_OBRA,3,FALSE)),0,VLOOKUP(B23,CU_MANO_DE_OBRA,3,FALSE))</f>
        <v>#REF!</v>
      </c>
      <c r="E23" s="11" t="e">
        <f t="shared" ref="E23:E33" si="7">IF(ISNA(VLOOKUP(B23,CU_MANO_DE_OBRA,3,FALSE)),0,VLOOKUP(B23,CU_MANO_DE_OBRA,4,FALSE))</f>
        <v>#REF!</v>
      </c>
      <c r="F23" s="73"/>
      <c r="G23" s="50" t="e">
        <f t="shared" ref="G23:G33" si="8">ROUND(E23*F23,2)</f>
        <v>#REF!</v>
      </c>
    </row>
    <row r="24" spans="1:7">
      <c r="A24" s="4">
        <f t="shared" ref="A24:A33" si="9">+A23+1</f>
        <v>2</v>
      </c>
      <c r="C24" s="40" t="e">
        <f t="shared" si="5"/>
        <v>#REF!</v>
      </c>
      <c r="D24" s="49" t="e">
        <f t="shared" si="6"/>
        <v>#REF!</v>
      </c>
      <c r="E24" s="37" t="e">
        <f t="shared" si="7"/>
        <v>#REF!</v>
      </c>
      <c r="F24" s="73"/>
      <c r="G24" s="50" t="e">
        <f t="shared" si="8"/>
        <v>#REF!</v>
      </c>
    </row>
    <row r="25" spans="1:7">
      <c r="A25" s="4">
        <f t="shared" si="9"/>
        <v>3</v>
      </c>
      <c r="C25" s="40" t="e">
        <f t="shared" si="5"/>
        <v>#REF!</v>
      </c>
      <c r="D25" s="49" t="e">
        <f t="shared" si="6"/>
        <v>#REF!</v>
      </c>
      <c r="E25" s="37" t="e">
        <f t="shared" si="7"/>
        <v>#REF!</v>
      </c>
      <c r="F25" s="73"/>
      <c r="G25" s="50" t="e">
        <f t="shared" si="8"/>
        <v>#REF!</v>
      </c>
    </row>
    <row r="26" spans="1:7">
      <c r="A26" s="4">
        <f t="shared" si="9"/>
        <v>4</v>
      </c>
      <c r="C26" s="40" t="e">
        <f t="shared" si="5"/>
        <v>#REF!</v>
      </c>
      <c r="D26" s="49" t="e">
        <f t="shared" si="6"/>
        <v>#REF!</v>
      </c>
      <c r="E26" s="37" t="e">
        <f t="shared" si="7"/>
        <v>#REF!</v>
      </c>
      <c r="F26" s="73"/>
      <c r="G26" s="50" t="e">
        <f t="shared" si="8"/>
        <v>#REF!</v>
      </c>
    </row>
    <row r="27" spans="1:7">
      <c r="A27" s="4">
        <f t="shared" si="9"/>
        <v>5</v>
      </c>
      <c r="C27" s="40" t="e">
        <f t="shared" si="5"/>
        <v>#REF!</v>
      </c>
      <c r="D27" s="49" t="e">
        <f t="shared" si="6"/>
        <v>#REF!</v>
      </c>
      <c r="E27" s="37" t="e">
        <f t="shared" si="7"/>
        <v>#REF!</v>
      </c>
      <c r="F27" s="73"/>
      <c r="G27" s="50" t="e">
        <f t="shared" si="8"/>
        <v>#REF!</v>
      </c>
    </row>
    <row r="28" spans="1:7">
      <c r="A28" s="4">
        <f t="shared" si="9"/>
        <v>6</v>
      </c>
      <c r="C28" s="40" t="e">
        <f t="shared" si="5"/>
        <v>#REF!</v>
      </c>
      <c r="D28" s="49" t="e">
        <f t="shared" si="6"/>
        <v>#REF!</v>
      </c>
      <c r="E28" s="37" t="e">
        <f t="shared" si="7"/>
        <v>#REF!</v>
      </c>
      <c r="F28" s="73"/>
      <c r="G28" s="50" t="e">
        <f t="shared" si="8"/>
        <v>#REF!</v>
      </c>
    </row>
    <row r="29" spans="1:7">
      <c r="A29" s="4">
        <f t="shared" si="9"/>
        <v>7</v>
      </c>
      <c r="C29" s="40" t="e">
        <f t="shared" si="5"/>
        <v>#REF!</v>
      </c>
      <c r="D29" s="49" t="e">
        <f t="shared" si="6"/>
        <v>#REF!</v>
      </c>
      <c r="E29" s="37" t="e">
        <f t="shared" si="7"/>
        <v>#REF!</v>
      </c>
      <c r="F29" s="73"/>
      <c r="G29" s="50" t="e">
        <f t="shared" si="8"/>
        <v>#REF!</v>
      </c>
    </row>
    <row r="30" spans="1:7">
      <c r="A30" s="4">
        <f t="shared" si="9"/>
        <v>8</v>
      </c>
      <c r="C30" s="40" t="e">
        <f t="shared" si="5"/>
        <v>#REF!</v>
      </c>
      <c r="D30" s="49" t="e">
        <f t="shared" si="6"/>
        <v>#REF!</v>
      </c>
      <c r="E30" s="37" t="e">
        <f t="shared" si="7"/>
        <v>#REF!</v>
      </c>
      <c r="F30" s="73"/>
      <c r="G30" s="50" t="e">
        <f t="shared" si="8"/>
        <v>#REF!</v>
      </c>
    </row>
    <row r="31" spans="1:7">
      <c r="A31" s="4">
        <f t="shared" si="9"/>
        <v>9</v>
      </c>
      <c r="C31" s="40" t="e">
        <f t="shared" si="5"/>
        <v>#REF!</v>
      </c>
      <c r="D31" s="49" t="e">
        <f t="shared" si="6"/>
        <v>#REF!</v>
      </c>
      <c r="E31" s="37" t="e">
        <f t="shared" si="7"/>
        <v>#REF!</v>
      </c>
      <c r="F31" s="73"/>
      <c r="G31" s="50" t="e">
        <f t="shared" si="8"/>
        <v>#REF!</v>
      </c>
    </row>
    <row r="32" spans="1:7">
      <c r="A32" s="4">
        <f t="shared" si="9"/>
        <v>10</v>
      </c>
      <c r="C32" s="40" t="e">
        <f t="shared" si="5"/>
        <v>#REF!</v>
      </c>
      <c r="D32" s="49" t="e">
        <f t="shared" si="6"/>
        <v>#REF!</v>
      </c>
      <c r="E32" s="37" t="e">
        <f t="shared" si="7"/>
        <v>#REF!</v>
      </c>
      <c r="F32" s="73"/>
      <c r="G32" s="50" t="e">
        <f t="shared" si="8"/>
        <v>#REF!</v>
      </c>
    </row>
    <row r="33" spans="1:7">
      <c r="A33" s="4">
        <f t="shared" si="9"/>
        <v>11</v>
      </c>
      <c r="B33" s="26"/>
      <c r="C33" s="55" t="e">
        <f t="shared" si="5"/>
        <v>#REF!</v>
      </c>
      <c r="D33" s="56" t="e">
        <f t="shared" si="6"/>
        <v>#REF!</v>
      </c>
      <c r="E33" s="27" t="e">
        <f t="shared" si="7"/>
        <v>#REF!</v>
      </c>
      <c r="F33" s="74"/>
      <c r="G33" s="50" t="e">
        <f t="shared" si="8"/>
        <v>#REF!</v>
      </c>
    </row>
    <row r="34" spans="1:7" ht="16.5" thickBot="1">
      <c r="A34" s="28"/>
      <c r="B34" s="28"/>
      <c r="C34" s="51" t="s">
        <v>30</v>
      </c>
      <c r="D34" s="52"/>
      <c r="E34" s="30"/>
      <c r="F34" s="75"/>
      <c r="G34" s="54" t="e">
        <f>ROUND(SUM(G23:G33),2)</f>
        <v>#REF!</v>
      </c>
    </row>
    <row r="35" spans="1:7" ht="16.5" thickTop="1">
      <c r="B35" s="72" t="s">
        <v>25</v>
      </c>
      <c r="C35" s="48" t="s">
        <v>31</v>
      </c>
      <c r="E35" s="11"/>
      <c r="F35" s="73"/>
      <c r="G35" s="50"/>
    </row>
    <row r="36" spans="1:7">
      <c r="A36" s="4">
        <v>1</v>
      </c>
      <c r="C36" s="40" t="e">
        <f t="shared" ref="C36:C46" si="10">IF(ISNA(VLOOKUP(B36,CU_EQUIPO,2,FALSE)),0,VLOOKUP(B36,CU_EQUIPO,2,FALSE))</f>
        <v>#REF!</v>
      </c>
      <c r="D36" s="49" t="e">
        <f t="shared" ref="D36:D46" si="11">IF(ISNA(VLOOKUP(B36,CU_EQUIPO,3,FALSE)),0,VLOOKUP(B36,CU_EQUIPO,3,FALSE))</f>
        <v>#REF!</v>
      </c>
      <c r="E36" s="11" t="e">
        <f t="shared" ref="E36:E46" si="12">IF(ISNA(VLOOKUP(B36,CU_EQUIPO,3,FALSE)),0,VLOOKUP(B36,CU_EQUIPO,4,FALSE))</f>
        <v>#REF!</v>
      </c>
      <c r="F36" s="115"/>
      <c r="G36" s="50" t="e">
        <f t="shared" ref="G36:G46" si="13">ROUND(E36*F36,2)</f>
        <v>#REF!</v>
      </c>
    </row>
    <row r="37" spans="1:7">
      <c r="A37" s="4">
        <f t="shared" ref="A37:A46" si="14">+A36+1</f>
        <v>2</v>
      </c>
      <c r="C37" s="40" t="e">
        <f t="shared" si="10"/>
        <v>#REF!</v>
      </c>
      <c r="D37" s="49" t="e">
        <f t="shared" si="11"/>
        <v>#REF!</v>
      </c>
      <c r="E37" s="19" t="e">
        <f t="shared" si="12"/>
        <v>#REF!</v>
      </c>
      <c r="F37" s="73"/>
      <c r="G37" s="50" t="e">
        <f t="shared" si="13"/>
        <v>#REF!</v>
      </c>
    </row>
    <row r="38" spans="1:7">
      <c r="A38" s="4">
        <f t="shared" si="14"/>
        <v>3</v>
      </c>
      <c r="C38" s="40" t="e">
        <f t="shared" si="10"/>
        <v>#REF!</v>
      </c>
      <c r="D38" s="49" t="e">
        <f t="shared" si="11"/>
        <v>#REF!</v>
      </c>
      <c r="E38" s="19" t="e">
        <f t="shared" si="12"/>
        <v>#REF!</v>
      </c>
      <c r="F38" s="73"/>
      <c r="G38" s="50" t="e">
        <f t="shared" si="13"/>
        <v>#REF!</v>
      </c>
    </row>
    <row r="39" spans="1:7">
      <c r="A39" s="4">
        <f t="shared" si="14"/>
        <v>4</v>
      </c>
      <c r="C39" s="40" t="e">
        <f t="shared" si="10"/>
        <v>#REF!</v>
      </c>
      <c r="D39" s="49" t="e">
        <f t="shared" si="11"/>
        <v>#REF!</v>
      </c>
      <c r="E39" s="11" t="e">
        <f t="shared" si="12"/>
        <v>#REF!</v>
      </c>
      <c r="F39" s="73"/>
      <c r="G39" s="50" t="e">
        <f t="shared" si="13"/>
        <v>#REF!</v>
      </c>
    </row>
    <row r="40" spans="1:7">
      <c r="A40" s="4">
        <f t="shared" si="14"/>
        <v>5</v>
      </c>
      <c r="C40" s="40" t="e">
        <f t="shared" si="10"/>
        <v>#REF!</v>
      </c>
      <c r="D40" s="49" t="e">
        <f t="shared" si="11"/>
        <v>#REF!</v>
      </c>
      <c r="E40" s="11" t="e">
        <f t="shared" si="12"/>
        <v>#REF!</v>
      </c>
      <c r="F40" s="73"/>
      <c r="G40" s="50" t="e">
        <f t="shared" si="13"/>
        <v>#REF!</v>
      </c>
    </row>
    <row r="41" spans="1:7">
      <c r="A41" s="4">
        <f t="shared" si="14"/>
        <v>6</v>
      </c>
      <c r="C41" s="40" t="e">
        <f t="shared" si="10"/>
        <v>#REF!</v>
      </c>
      <c r="D41" s="49" t="e">
        <f t="shared" si="11"/>
        <v>#REF!</v>
      </c>
      <c r="E41" s="11" t="e">
        <f t="shared" si="12"/>
        <v>#REF!</v>
      </c>
      <c r="F41" s="73"/>
      <c r="G41" s="50" t="e">
        <f t="shared" si="13"/>
        <v>#REF!</v>
      </c>
    </row>
    <row r="42" spans="1:7">
      <c r="A42" s="4">
        <f t="shared" si="14"/>
        <v>7</v>
      </c>
      <c r="C42" s="40" t="e">
        <f t="shared" si="10"/>
        <v>#REF!</v>
      </c>
      <c r="D42" s="49" t="e">
        <f t="shared" si="11"/>
        <v>#REF!</v>
      </c>
      <c r="E42" s="11" t="e">
        <f t="shared" si="12"/>
        <v>#REF!</v>
      </c>
      <c r="F42" s="73"/>
      <c r="G42" s="50" t="e">
        <f t="shared" si="13"/>
        <v>#REF!</v>
      </c>
    </row>
    <row r="43" spans="1:7">
      <c r="A43" s="4">
        <f t="shared" si="14"/>
        <v>8</v>
      </c>
      <c r="C43" s="40" t="e">
        <f t="shared" si="10"/>
        <v>#REF!</v>
      </c>
      <c r="D43" s="49" t="e">
        <f t="shared" si="11"/>
        <v>#REF!</v>
      </c>
      <c r="E43" s="11" t="e">
        <f t="shared" si="12"/>
        <v>#REF!</v>
      </c>
      <c r="F43" s="73"/>
      <c r="G43" s="50" t="e">
        <f t="shared" si="13"/>
        <v>#REF!</v>
      </c>
    </row>
    <row r="44" spans="1:7">
      <c r="A44" s="4">
        <f t="shared" si="14"/>
        <v>9</v>
      </c>
      <c r="C44" s="40" t="e">
        <f t="shared" si="10"/>
        <v>#REF!</v>
      </c>
      <c r="D44" s="49" t="e">
        <f t="shared" si="11"/>
        <v>#REF!</v>
      </c>
      <c r="E44" s="11" t="e">
        <f t="shared" si="12"/>
        <v>#REF!</v>
      </c>
      <c r="F44" s="73"/>
      <c r="G44" s="50" t="e">
        <f t="shared" si="13"/>
        <v>#REF!</v>
      </c>
    </row>
    <row r="45" spans="1:7">
      <c r="A45" s="4">
        <f t="shared" si="14"/>
        <v>10</v>
      </c>
      <c r="C45" s="40" t="e">
        <f t="shared" si="10"/>
        <v>#REF!</v>
      </c>
      <c r="D45" s="49" t="e">
        <f t="shared" si="11"/>
        <v>#REF!</v>
      </c>
      <c r="E45" s="11" t="e">
        <f t="shared" si="12"/>
        <v>#REF!</v>
      </c>
      <c r="F45" s="73"/>
      <c r="G45" s="50" t="e">
        <f t="shared" si="13"/>
        <v>#REF!</v>
      </c>
    </row>
    <row r="46" spans="1:7">
      <c r="A46" s="4">
        <f t="shared" si="14"/>
        <v>11</v>
      </c>
      <c r="B46" s="26"/>
      <c r="C46" s="55" t="e">
        <f t="shared" si="10"/>
        <v>#REF!</v>
      </c>
      <c r="D46" s="56" t="e">
        <f t="shared" si="11"/>
        <v>#REF!</v>
      </c>
      <c r="E46" s="27" t="e">
        <f t="shared" si="12"/>
        <v>#REF!</v>
      </c>
      <c r="F46" s="74"/>
      <c r="G46" s="50" t="e">
        <f t="shared" si="13"/>
        <v>#REF!</v>
      </c>
    </row>
    <row r="47" spans="1:7" ht="16.5" thickBot="1">
      <c r="A47" s="28"/>
      <c r="B47" s="28"/>
      <c r="C47" s="51" t="s">
        <v>32</v>
      </c>
      <c r="D47" s="52"/>
      <c r="E47" s="53"/>
      <c r="F47" s="54"/>
      <c r="G47" s="54" t="e">
        <f>ROUND(SUM(G36:G46),2)</f>
        <v>#REF!</v>
      </c>
    </row>
    <row r="48" spans="1:7" ht="16.5" thickTop="1">
      <c r="C48" s="6"/>
      <c r="D48" s="4"/>
      <c r="E48" s="11"/>
      <c r="F48" s="7"/>
      <c r="G48" s="14"/>
    </row>
    <row r="49" spans="1:7">
      <c r="C49" s="17" t="s">
        <v>55</v>
      </c>
      <c r="D49" s="4"/>
      <c r="E49" s="11"/>
      <c r="F49" s="7"/>
      <c r="G49" s="15" t="e">
        <f>G21+G34+G47</f>
        <v>#REF!</v>
      </c>
    </row>
    <row r="50" spans="1:7" ht="16.5" thickBot="1">
      <c r="A50" s="103"/>
      <c r="B50" s="103"/>
      <c r="C50" s="104"/>
      <c r="D50" s="103"/>
      <c r="E50" s="105"/>
      <c r="F50" s="106"/>
      <c r="G50" s="107"/>
    </row>
    <row r="51" spans="1:7" ht="18" customHeight="1" thickTop="1">
      <c r="A51" s="3">
        <v>4</v>
      </c>
      <c r="C51" s="17" t="s">
        <v>50</v>
      </c>
      <c r="D51" s="4"/>
      <c r="E51" s="11"/>
      <c r="F51" s="7"/>
      <c r="G51" s="14"/>
    </row>
    <row r="52" spans="1:7">
      <c r="C52" s="6"/>
      <c r="D52" s="4"/>
      <c r="E52" s="11"/>
      <c r="F52" s="7"/>
      <c r="G52" s="14"/>
    </row>
    <row r="53" spans="1:7">
      <c r="C53" s="6" t="s">
        <v>51</v>
      </c>
      <c r="D53" s="4"/>
      <c r="E53" s="11"/>
      <c r="F53" s="7"/>
      <c r="G53" s="14" t="e">
        <f>ROUND((Presupuesto!E88)*G49,2)</f>
        <v>#REF!</v>
      </c>
    </row>
    <row r="54" spans="1:7">
      <c r="C54" s="6" t="s">
        <v>52</v>
      </c>
      <c r="D54" s="4"/>
      <c r="E54" s="11"/>
      <c r="F54" s="7"/>
      <c r="G54" s="14" t="e">
        <f>ROUND((Presupuesto!E89)*G49,2)</f>
        <v>#REF!</v>
      </c>
    </row>
    <row r="55" spans="1:7" ht="16.5" thickBot="1">
      <c r="A55" s="28"/>
      <c r="B55" s="28"/>
      <c r="C55" s="29" t="s">
        <v>53</v>
      </c>
      <c r="D55" s="28"/>
      <c r="E55" s="30"/>
      <c r="F55" s="31"/>
      <c r="G55" s="108" t="e">
        <f>SUM(G53:G54)</f>
        <v>#REF!</v>
      </c>
    </row>
    <row r="56" spans="1:7" ht="16.5" thickTop="1">
      <c r="A56" s="3">
        <v>5</v>
      </c>
      <c r="C56" s="17" t="s">
        <v>16</v>
      </c>
      <c r="D56" s="4"/>
      <c r="E56" s="11"/>
      <c r="F56" s="7"/>
      <c r="G56" s="14"/>
    </row>
    <row r="57" spans="1:7">
      <c r="C57" s="6"/>
      <c r="D57" s="4"/>
      <c r="E57" s="11"/>
      <c r="F57" s="7"/>
      <c r="G57" s="14"/>
    </row>
    <row r="58" spans="1:7">
      <c r="C58" s="6" t="s">
        <v>59</v>
      </c>
      <c r="D58" s="4"/>
      <c r="E58" s="11"/>
      <c r="F58" s="7"/>
      <c r="G58" s="14" t="e">
        <f>ROUND((Presupuesto!E90)*(G49+G55),2)</f>
        <v>#REF!</v>
      </c>
    </row>
    <row r="59" spans="1:7" ht="16.5" thickBot="1">
      <c r="A59" s="28"/>
      <c r="B59" s="28"/>
      <c r="C59" s="29" t="s">
        <v>54</v>
      </c>
      <c r="D59" s="28"/>
      <c r="E59" s="30"/>
      <c r="F59" s="31"/>
      <c r="G59" s="108" t="e">
        <f>SUM(G58)</f>
        <v>#REF!</v>
      </c>
    </row>
    <row r="60" spans="1:7" ht="16.5" thickTop="1">
      <c r="C60" s="6"/>
      <c r="D60" s="4"/>
      <c r="E60" s="11"/>
      <c r="F60" s="7"/>
      <c r="G60" s="14"/>
    </row>
    <row r="61" spans="1:7">
      <c r="A61" s="8"/>
      <c r="B61" s="8"/>
      <c r="C61" s="109" t="s">
        <v>56</v>
      </c>
      <c r="D61" s="8"/>
      <c r="E61" s="110"/>
      <c r="F61" s="111"/>
      <c r="G61" s="112" t="e">
        <f>+G55+G59</f>
        <v>#REF!</v>
      </c>
    </row>
    <row r="62" spans="1:7" ht="16.5" thickBot="1">
      <c r="A62" s="103"/>
      <c r="B62" s="103"/>
      <c r="C62" s="104"/>
      <c r="D62" s="103"/>
      <c r="E62" s="105"/>
      <c r="F62" s="106"/>
      <c r="G62" s="113"/>
    </row>
    <row r="63" spans="1:7" ht="16.5" thickTop="1">
      <c r="A63" s="8"/>
      <c r="B63" s="8"/>
      <c r="C63" s="32"/>
      <c r="D63" s="8"/>
      <c r="E63" s="110"/>
      <c r="F63" s="111"/>
      <c r="G63" s="114"/>
    </row>
    <row r="64" spans="1:7">
      <c r="C64" s="17" t="s">
        <v>57</v>
      </c>
      <c r="D64" s="4"/>
      <c r="E64" s="11"/>
      <c r="F64" s="7"/>
      <c r="G64" s="57" t="e">
        <f>TRUNC(G49+G61,2)</f>
        <v>#REF!</v>
      </c>
    </row>
    <row r="65" spans="1:7" ht="16.5" thickBot="1">
      <c r="A65" s="5"/>
      <c r="B65" s="5"/>
      <c r="C65" s="33"/>
      <c r="D65" s="5"/>
      <c r="E65" s="20"/>
      <c r="F65" s="34"/>
      <c r="G65" s="35"/>
    </row>
  </sheetData>
  <mergeCells count="1">
    <mergeCell ref="C4:F4"/>
  </mergeCells>
  <phoneticPr fontId="0" type="noConversion"/>
  <printOptions horizontalCentered="1" verticalCentered="1"/>
  <pageMargins left="0.91" right="0.75" top="0.8" bottom="1" header="0" footer="0"/>
  <pageSetup scale="6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2"/>
  <dimension ref="A1:F29"/>
  <sheetViews>
    <sheetView showGridLines="0" showZeros="0" workbookViewId="0">
      <pane ySplit="7" topLeftCell="A8" activePane="bottomLeft" state="frozen"/>
      <selection activeCell="C25" sqref="C25"/>
      <selection pane="bottomLeft" activeCell="E28" sqref="E28"/>
    </sheetView>
  </sheetViews>
  <sheetFormatPr baseColWidth="10" defaultColWidth="11.42578125" defaultRowHeight="15.75"/>
  <cols>
    <col min="1" max="1" width="3.7109375" style="4" customWidth="1"/>
    <col min="2" max="2" width="60.28515625" style="4" customWidth="1"/>
    <col min="3" max="3" width="16.5703125" style="4" bestFit="1" customWidth="1"/>
    <col min="4" max="4" width="13.42578125" style="64" customWidth="1"/>
    <col min="5" max="5" width="13" style="4" customWidth="1"/>
    <col min="6" max="6" width="13" style="4" bestFit="1" customWidth="1"/>
    <col min="7" max="16384" width="11.42578125" style="4"/>
  </cols>
  <sheetData>
    <row r="1" spans="1:6" ht="20.25">
      <c r="A1" s="25" t="s">
        <v>39</v>
      </c>
      <c r="B1" s="22"/>
      <c r="C1" s="22"/>
      <c r="D1" s="60"/>
    </row>
    <row r="2" spans="1:6">
      <c r="A2" s="23" t="s">
        <v>42</v>
      </c>
      <c r="B2" s="22"/>
      <c r="C2" s="22"/>
      <c r="D2" s="60"/>
    </row>
    <row r="3" spans="1:6">
      <c r="A3" s="23"/>
      <c r="B3" s="22"/>
      <c r="C3" s="22"/>
      <c r="D3" s="60"/>
    </row>
    <row r="4" spans="1:6">
      <c r="A4" s="24" t="s">
        <v>18</v>
      </c>
      <c r="B4" s="22"/>
      <c r="C4" s="22"/>
      <c r="D4" s="60"/>
    </row>
    <row r="5" spans="1:6" ht="16.5" thickBot="1">
      <c r="A5" s="5"/>
      <c r="B5" s="5"/>
      <c r="C5" s="5"/>
      <c r="D5" s="61"/>
    </row>
    <row r="6" spans="1:6">
      <c r="A6" s="195"/>
      <c r="B6" s="195"/>
      <c r="C6" s="195"/>
      <c r="D6" s="62" t="s">
        <v>19</v>
      </c>
      <c r="E6" s="319" t="s">
        <v>5</v>
      </c>
    </row>
    <row r="7" spans="1:6">
      <c r="A7" s="9" t="s">
        <v>20</v>
      </c>
      <c r="B7" s="9" t="s">
        <v>21</v>
      </c>
      <c r="C7" s="9" t="s">
        <v>22</v>
      </c>
      <c r="D7" s="63" t="s">
        <v>0</v>
      </c>
      <c r="E7" s="319"/>
    </row>
    <row r="8" spans="1:6">
      <c r="A8" s="59">
        <v>1</v>
      </c>
      <c r="B8" s="4" t="e">
        <f>+#REF!</f>
        <v>#REF!</v>
      </c>
      <c r="C8" s="36" t="e">
        <f>#REF!</f>
        <v>#REF!</v>
      </c>
      <c r="D8" s="136" t="e">
        <f>#REF!</f>
        <v>#REF!</v>
      </c>
      <c r="E8" s="12">
        <v>1.02</v>
      </c>
      <c r="F8" s="12" t="e">
        <f>D8*E8</f>
        <v>#REF!</v>
      </c>
    </row>
    <row r="9" spans="1:6">
      <c r="A9" s="59">
        <v>2</v>
      </c>
      <c r="B9" s="217" t="e">
        <f>#REF!</f>
        <v>#REF!</v>
      </c>
      <c r="C9" s="36" t="e">
        <f>#REF!</f>
        <v>#REF!</v>
      </c>
      <c r="D9" s="36" t="e">
        <f>#REF!</f>
        <v>#REF!</v>
      </c>
      <c r="E9" s="12">
        <v>1018.44</v>
      </c>
      <c r="F9" s="12" t="e">
        <f t="shared" ref="F9:F22" si="0">D9*E9</f>
        <v>#REF!</v>
      </c>
    </row>
    <row r="10" spans="1:6">
      <c r="A10" s="59">
        <v>3</v>
      </c>
      <c r="B10" s="12" t="e">
        <f>#REF!</f>
        <v>#REF!</v>
      </c>
      <c r="C10" s="36" t="e">
        <f>#REF!</f>
        <v>#REF!</v>
      </c>
      <c r="D10" s="136" t="e">
        <f>#REF!</f>
        <v>#REF!</v>
      </c>
      <c r="E10" s="12">
        <v>1656.34</v>
      </c>
      <c r="F10" s="12" t="e">
        <f t="shared" si="0"/>
        <v>#REF!</v>
      </c>
    </row>
    <row r="11" spans="1:6">
      <c r="A11" s="59">
        <v>4</v>
      </c>
      <c r="B11" s="4" t="e">
        <f>#REF!</f>
        <v>#REF!</v>
      </c>
      <c r="C11" s="36" t="e">
        <f>#REF!</f>
        <v>#REF!</v>
      </c>
      <c r="D11" s="136" t="e">
        <f>#REF!</f>
        <v>#REF!</v>
      </c>
      <c r="E11" s="12">
        <v>1.02</v>
      </c>
      <c r="F11" s="12" t="e">
        <f t="shared" si="0"/>
        <v>#REF!</v>
      </c>
    </row>
    <row r="12" spans="1:6">
      <c r="A12" s="59">
        <v>5</v>
      </c>
      <c r="B12" s="4" t="e">
        <f>#REF!</f>
        <v>#REF!</v>
      </c>
      <c r="C12" s="36" t="e">
        <f>#REF!</f>
        <v>#REF!</v>
      </c>
      <c r="D12" s="136" t="e">
        <f>#REF!</f>
        <v>#REF!</v>
      </c>
      <c r="E12" s="12">
        <v>856.15</v>
      </c>
      <c r="F12" s="12" t="e">
        <f t="shared" si="0"/>
        <v>#REF!</v>
      </c>
    </row>
    <row r="13" spans="1:6">
      <c r="A13" s="59">
        <v>6</v>
      </c>
      <c r="B13" s="4" t="e">
        <f>#REF!</f>
        <v>#REF!</v>
      </c>
      <c r="C13" s="36" t="e">
        <f>#REF!</f>
        <v>#REF!</v>
      </c>
      <c r="D13" s="136" t="e">
        <f>#REF!</f>
        <v>#REF!</v>
      </c>
      <c r="E13" s="12">
        <v>3009.6</v>
      </c>
      <c r="F13" s="12" t="e">
        <f t="shared" si="0"/>
        <v>#REF!</v>
      </c>
    </row>
    <row r="14" spans="1:6">
      <c r="A14" s="59"/>
      <c r="B14" s="4" t="e">
        <f>Presupuesto!#REF!</f>
        <v>#REF!</v>
      </c>
      <c r="C14" s="36"/>
      <c r="D14" s="136" t="e">
        <f>'bordillo de 15x15 '!I49</f>
        <v>#REF!</v>
      </c>
      <c r="E14" s="12">
        <v>1814.94</v>
      </c>
      <c r="F14" s="12" t="e">
        <f t="shared" si="0"/>
        <v>#REF!</v>
      </c>
    </row>
    <row r="15" spans="1:6">
      <c r="A15" s="59">
        <v>7</v>
      </c>
      <c r="B15" s="4" t="str">
        <f>'bordillo de 15x5'!C6</f>
        <v>BORDILLO DE 15X5 CM</v>
      </c>
      <c r="C15" s="36" t="str">
        <f>'bordillo de 15x5'!C7</f>
        <v>ML</v>
      </c>
      <c r="D15" s="36" t="e">
        <f>'bordillo de 15x5'!I49</f>
        <v>#REF!</v>
      </c>
      <c r="E15" s="12">
        <f>180</f>
        <v>180</v>
      </c>
      <c r="F15" s="12" t="e">
        <f t="shared" si="0"/>
        <v>#REF!</v>
      </c>
    </row>
    <row r="16" spans="1:6">
      <c r="A16" s="59">
        <v>8</v>
      </c>
      <c r="B16" s="4" t="str">
        <f>'concreto de 210 kg-cm'!C6</f>
        <v>CONCRETO DE 210 KG/CM</v>
      </c>
      <c r="C16" s="36" t="str">
        <f>'concreto de 210 kg-cm'!C7</f>
        <v>M3</v>
      </c>
      <c r="D16" s="136" t="e">
        <f>'concreto de 210 kg-cm'!I49</f>
        <v>#REF!</v>
      </c>
      <c r="E16" s="12">
        <f>856.15+6.1</f>
        <v>862.25</v>
      </c>
      <c r="F16" s="12" t="e">
        <f t="shared" si="0"/>
        <v>#REF!</v>
      </c>
    </row>
    <row r="17" spans="1:6">
      <c r="A17" s="59">
        <v>9</v>
      </c>
      <c r="B17" s="4" t="str">
        <f>'Cortado de concreto'!C6</f>
        <v>CORTADO DE CONCRETO</v>
      </c>
      <c r="C17" s="36" t="str">
        <f>'Cortado de concreto'!C7</f>
        <v>ML</v>
      </c>
      <c r="D17" s="136" t="e">
        <f>'Cortado de concreto'!I51</f>
        <v>#REF!</v>
      </c>
      <c r="E17" s="12">
        <v>11423.88</v>
      </c>
      <c r="F17" s="12" t="e">
        <f t="shared" si="0"/>
        <v>#REF!</v>
      </c>
    </row>
    <row r="18" spans="1:6">
      <c r="A18" s="59">
        <v>10</v>
      </c>
      <c r="B18" s="12" t="str">
        <f>'Señales '!C6</f>
        <v>SEÑALES HORIZONTALES (LINEA CENTRAL O LATERAL)</v>
      </c>
      <c r="C18" s="36" t="str">
        <f>'Señales '!C7</f>
        <v>ML</v>
      </c>
      <c r="D18" s="136" t="e">
        <f>'Señales '!I51</f>
        <v>#REF!</v>
      </c>
      <c r="E18" s="12">
        <v>1018.44</v>
      </c>
      <c r="F18" s="12" t="e">
        <f t="shared" si="0"/>
        <v>#REF!</v>
      </c>
    </row>
    <row r="19" spans="1:6">
      <c r="A19" s="59">
        <v>11</v>
      </c>
      <c r="B19" s="217" t="str">
        <f>'pintura de bordillo'!C6</f>
        <v>PINTURA DE BORDILLO</v>
      </c>
      <c r="C19" s="36" t="str">
        <f>'pintura de bordillo'!C7</f>
        <v>ML</v>
      </c>
      <c r="D19" s="136" t="e">
        <f>'pintura de bordillo'!I51</f>
        <v>#REF!</v>
      </c>
      <c r="E19" s="12">
        <v>1994.94</v>
      </c>
      <c r="F19" s="12" t="e">
        <f t="shared" si="0"/>
        <v>#REF!</v>
      </c>
    </row>
    <row r="20" spans="1:6">
      <c r="A20" s="59">
        <v>12</v>
      </c>
      <c r="B20" s="4" t="str">
        <f>'siembra de vetiver'!C6</f>
        <v>SUMINISTRO Y SIEMBRA DE VETIVER</v>
      </c>
      <c r="C20" s="36" t="str">
        <f>'siembra de vetiver'!C7</f>
        <v>M2</v>
      </c>
      <c r="D20" s="136" t="e">
        <f>'siembra de vetiver'!I49</f>
        <v>#REF!</v>
      </c>
      <c r="E20" s="12">
        <v>75</v>
      </c>
      <c r="F20" s="12" t="e">
        <f t="shared" si="0"/>
        <v>#REF!</v>
      </c>
    </row>
    <row r="21" spans="1:6">
      <c r="A21" s="59">
        <v>13</v>
      </c>
      <c r="B21" s="12" t="e">
        <f>#REF!</f>
        <v>#REF!</v>
      </c>
      <c r="C21" s="36" t="e">
        <f>#REF!</f>
        <v>#REF!</v>
      </c>
      <c r="D21" s="135" t="e">
        <f>#REF!</f>
        <v>#REF!</v>
      </c>
      <c r="E21" s="12">
        <v>9</v>
      </c>
      <c r="F21" s="12" t="e">
        <f t="shared" si="0"/>
        <v>#REF!</v>
      </c>
    </row>
    <row r="22" spans="1:6">
      <c r="A22" s="59">
        <v>14</v>
      </c>
      <c r="B22" s="4" t="str">
        <f>rotulo!C6</f>
        <v>ROTULO BANNER 2.44 X 2.00 m. (SUM. E INST.)</v>
      </c>
      <c r="C22" s="36" t="str">
        <f>rotulo!C7</f>
        <v>UNIDAD</v>
      </c>
      <c r="D22" s="135" t="e">
        <f>rotulo!I70</f>
        <v>#REF!</v>
      </c>
      <c r="E22" s="12">
        <v>2</v>
      </c>
      <c r="F22" s="12" t="e">
        <f t="shared" si="0"/>
        <v>#REF!</v>
      </c>
    </row>
    <row r="23" spans="1:6">
      <c r="A23" s="59"/>
      <c r="C23" s="36"/>
      <c r="D23" s="135"/>
      <c r="E23" s="12"/>
      <c r="F23" s="218" t="e">
        <f>SUM(F8:F22)</f>
        <v>#REF!</v>
      </c>
    </row>
    <row r="24" spans="1:6">
      <c r="A24" s="59"/>
      <c r="C24" s="36"/>
      <c r="D24" s="135"/>
    </row>
    <row r="25" spans="1:6">
      <c r="C25" s="36"/>
      <c r="D25" s="135"/>
    </row>
    <row r="26" spans="1:6">
      <c r="C26" s="36"/>
      <c r="D26" s="135"/>
    </row>
    <row r="27" spans="1:6">
      <c r="C27" s="36"/>
      <c r="D27" s="135"/>
    </row>
    <row r="29" spans="1:6">
      <c r="C29" s="36"/>
      <c r="D29" s="135"/>
    </row>
  </sheetData>
  <mergeCells count="1">
    <mergeCell ref="E6:E7"/>
  </mergeCells>
  <pageMargins left="0.75" right="0.75" top="1" bottom="1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7"/>
  <dimension ref="A1:B1048576"/>
  <sheetViews>
    <sheetView showGridLines="0" workbookViewId="0">
      <selection activeCell="B28" sqref="B28"/>
    </sheetView>
  </sheetViews>
  <sheetFormatPr baseColWidth="10" defaultColWidth="11.42578125" defaultRowHeight="12.75"/>
  <cols>
    <col min="1" max="1" width="9.28515625" style="1" customWidth="1"/>
    <col min="2" max="2" width="47.42578125" customWidth="1"/>
  </cols>
  <sheetData>
    <row r="1" spans="1:2" ht="19.5">
      <c r="A1" s="67" t="s">
        <v>24</v>
      </c>
      <c r="B1" s="67"/>
    </row>
    <row r="2" spans="1:2">
      <c r="A2" s="66" t="s">
        <v>39</v>
      </c>
      <c r="B2" s="66"/>
    </row>
    <row r="3" spans="1:2">
      <c r="A3" s="320" t="s">
        <v>111</v>
      </c>
      <c r="B3" s="321"/>
    </row>
    <row r="6" spans="1:2">
      <c r="A6" s="58" t="s">
        <v>25</v>
      </c>
      <c r="B6" s="2" t="s">
        <v>3</v>
      </c>
    </row>
    <row r="8" spans="1:2">
      <c r="A8" s="1">
        <v>101</v>
      </c>
      <c r="B8" s="71"/>
    </row>
    <row r="9" spans="1:2">
      <c r="A9" s="1">
        <v>102</v>
      </c>
      <c r="B9" s="71"/>
    </row>
    <row r="10" spans="1:2">
      <c r="A10" s="1">
        <v>103</v>
      </c>
      <c r="B10" s="71"/>
    </row>
    <row r="11" spans="1:2">
      <c r="A11" s="1">
        <v>104</v>
      </c>
      <c r="B11" s="71"/>
    </row>
    <row r="12" spans="1:2">
      <c r="A12" s="1">
        <v>105</v>
      </c>
      <c r="B12" s="71"/>
    </row>
    <row r="13" spans="1:2">
      <c r="A13" s="1">
        <v>106</v>
      </c>
      <c r="B13" s="71"/>
    </row>
    <row r="14" spans="1:2">
      <c r="A14" s="1">
        <v>107</v>
      </c>
      <c r="B14" s="71"/>
    </row>
    <row r="15" spans="1:2">
      <c r="A15" s="1">
        <v>108</v>
      </c>
      <c r="B15" s="71"/>
    </row>
    <row r="16" spans="1:2">
      <c r="A16" s="1">
        <v>109</v>
      </c>
      <c r="B16" s="71"/>
    </row>
    <row r="17" spans="1:2">
      <c r="A17" s="1">
        <v>110</v>
      </c>
      <c r="B17" s="71"/>
    </row>
    <row r="18" spans="1:2">
      <c r="A18" s="1">
        <v>111</v>
      </c>
      <c r="B18" s="71"/>
    </row>
    <row r="19" spans="1:2">
      <c r="A19" s="1">
        <v>112</v>
      </c>
      <c r="B19" s="71"/>
    </row>
    <row r="20" spans="1:2">
      <c r="A20" s="1">
        <v>113</v>
      </c>
      <c r="B20" s="71"/>
    </row>
    <row r="21" spans="1:2">
      <c r="A21" s="1">
        <v>114</v>
      </c>
      <c r="B21" s="71"/>
    </row>
    <row r="22" spans="1:2">
      <c r="A22" s="1">
        <v>115</v>
      </c>
      <c r="B22" s="71"/>
    </row>
    <row r="23" spans="1:2">
      <c r="A23" s="1">
        <v>116</v>
      </c>
      <c r="B23" s="71"/>
    </row>
    <row r="24" spans="1:2">
      <c r="A24" s="1">
        <v>117</v>
      </c>
      <c r="B24" s="71"/>
    </row>
    <row r="25" spans="1:2">
      <c r="A25" s="1">
        <v>118</v>
      </c>
      <c r="B25" s="71"/>
    </row>
    <row r="26" spans="1:2">
      <c r="A26" s="1">
        <v>119</v>
      </c>
      <c r="B26" s="71"/>
    </row>
    <row r="27" spans="1:2">
      <c r="A27" s="1">
        <v>120</v>
      </c>
      <c r="B27" s="71"/>
    </row>
    <row r="28" spans="1:2" ht="88.5" customHeight="1">
      <c r="A28" s="1">
        <v>121</v>
      </c>
      <c r="B28" s="214" t="s">
        <v>161</v>
      </c>
    </row>
    <row r="29" spans="1:2">
      <c r="A29" s="1">
        <v>122</v>
      </c>
      <c r="B29" s="71"/>
    </row>
    <row r="30" spans="1:2">
      <c r="A30" s="1">
        <v>123</v>
      </c>
      <c r="B30" s="71"/>
    </row>
    <row r="31" spans="1:2">
      <c r="A31" s="1">
        <v>124</v>
      </c>
      <c r="B31" s="71"/>
    </row>
    <row r="32" spans="1:2">
      <c r="A32" s="1">
        <v>125</v>
      </c>
      <c r="B32" s="71"/>
    </row>
    <row r="33" spans="1:2">
      <c r="A33" s="1">
        <v>126</v>
      </c>
      <c r="B33" s="71"/>
    </row>
    <row r="34" spans="1:2">
      <c r="A34" s="1">
        <v>127</v>
      </c>
      <c r="B34" s="71"/>
    </row>
    <row r="35" spans="1:2">
      <c r="A35" s="1">
        <v>128</v>
      </c>
      <c r="B35" s="71"/>
    </row>
    <row r="36" spans="1:2">
      <c r="A36" s="1">
        <v>129</v>
      </c>
      <c r="B36" s="71"/>
    </row>
    <row r="37" spans="1:2">
      <c r="A37" s="1">
        <v>130</v>
      </c>
      <c r="B37" s="71"/>
    </row>
    <row r="38" spans="1:2">
      <c r="A38" s="1">
        <v>131</v>
      </c>
      <c r="B38" s="71"/>
    </row>
    <row r="39" spans="1:2">
      <c r="A39" s="1">
        <v>132</v>
      </c>
      <c r="B39" s="71"/>
    </row>
    <row r="40" spans="1:2">
      <c r="A40" s="1">
        <v>133</v>
      </c>
      <c r="B40" s="71"/>
    </row>
    <row r="41" spans="1:2">
      <c r="A41" s="1">
        <v>134</v>
      </c>
      <c r="B41" s="71"/>
    </row>
    <row r="42" spans="1:2">
      <c r="A42" s="1">
        <v>135</v>
      </c>
      <c r="B42" s="71"/>
    </row>
    <row r="43" spans="1:2">
      <c r="A43" s="1">
        <v>136</v>
      </c>
      <c r="B43" s="71"/>
    </row>
    <row r="44" spans="1:2">
      <c r="A44" s="1">
        <v>137</v>
      </c>
      <c r="B44" s="71"/>
    </row>
    <row r="45" spans="1:2">
      <c r="A45" s="1">
        <v>138</v>
      </c>
      <c r="B45" s="71"/>
    </row>
    <row r="46" spans="1:2">
      <c r="A46" s="1">
        <v>139</v>
      </c>
      <c r="B46" s="71"/>
    </row>
    <row r="47" spans="1:2">
      <c r="A47" s="1">
        <v>140</v>
      </c>
      <c r="B47" s="71"/>
    </row>
    <row r="48" spans="1:2">
      <c r="A48" s="1">
        <v>141</v>
      </c>
      <c r="B48" s="71"/>
    </row>
    <row r="49" spans="1:2">
      <c r="A49" s="1">
        <v>142</v>
      </c>
      <c r="B49" s="71"/>
    </row>
    <row r="50" spans="1:2">
      <c r="A50" s="1">
        <v>143</v>
      </c>
      <c r="B50" s="71"/>
    </row>
    <row r="51" spans="1:2">
      <c r="A51" s="1">
        <v>144</v>
      </c>
      <c r="B51" s="71"/>
    </row>
    <row r="52" spans="1:2">
      <c r="A52" s="1">
        <v>145</v>
      </c>
      <c r="B52" s="71"/>
    </row>
    <row r="53" spans="1:2">
      <c r="A53" s="1">
        <v>146</v>
      </c>
      <c r="B53" s="71"/>
    </row>
    <row r="54" spans="1:2">
      <c r="A54" s="1">
        <v>147</v>
      </c>
      <c r="B54" s="71"/>
    </row>
    <row r="55" spans="1:2">
      <c r="A55" s="1">
        <v>148</v>
      </c>
      <c r="B55" s="71"/>
    </row>
    <row r="1048576" spans="2:2">
      <c r="B1048576" s="71"/>
    </row>
  </sheetData>
  <mergeCells count="1">
    <mergeCell ref="A3:B3"/>
  </mergeCells>
  <phoneticPr fontId="0" type="noConversion"/>
  <pageMargins left="0.75" right="0.75" top="1" bottom="1" header="0" footer="0"/>
  <pageSetup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21">
    <tabColor rgb="FFFFFF00"/>
    <pageSetUpPr fitToPage="1"/>
  </sheetPr>
  <dimension ref="A1:L68"/>
  <sheetViews>
    <sheetView showGridLines="0" showZeros="0" view="pageBreakPreview" zoomScale="80" zoomScaleNormal="75" zoomScaleSheetLayoutView="80" workbookViewId="0">
      <pane ySplit="11" topLeftCell="A12" activePane="bottomLeft" state="frozen"/>
      <selection activeCell="E26" sqref="E26"/>
      <selection pane="bottomLeft" activeCell="E26" sqref="E26"/>
    </sheetView>
  </sheetViews>
  <sheetFormatPr baseColWidth="10" defaultColWidth="9.140625" defaultRowHeight="15.75"/>
  <cols>
    <col min="1" max="1" width="14.85546875" style="4" customWidth="1"/>
    <col min="2" max="2" width="10.42578125" style="4" customWidth="1"/>
    <col min="3" max="3" width="44" style="40" customWidth="1"/>
    <col min="4" max="5" width="15.7109375" style="39" customWidth="1"/>
    <col min="6" max="6" width="15.7109375" style="39" hidden="1" customWidth="1"/>
    <col min="7" max="7" width="21.42578125" style="39" hidden="1" customWidth="1"/>
    <col min="8" max="8" width="18.140625" style="46" customWidth="1"/>
    <col min="9" max="9" width="15.7109375" style="39" customWidth="1"/>
    <col min="10" max="11" width="9.140625" style="4"/>
    <col min="12" max="12" width="21.28515625" style="4" bestFit="1" customWidth="1"/>
    <col min="13" max="16384" width="9.140625" style="4"/>
  </cols>
  <sheetData>
    <row r="1" spans="1:12" ht="15.75" customHeight="1">
      <c r="A1" s="322" t="s">
        <v>97</v>
      </c>
      <c r="B1" s="322"/>
      <c r="C1" s="322"/>
      <c r="D1" s="322"/>
      <c r="E1" s="322"/>
      <c r="F1" s="322"/>
      <c r="G1" s="322"/>
      <c r="H1" s="322"/>
      <c r="I1" s="322"/>
    </row>
    <row r="2" spans="1:12" ht="13.5" customHeight="1">
      <c r="A2" s="322"/>
      <c r="B2" s="322"/>
      <c r="C2" s="322"/>
      <c r="D2" s="322"/>
      <c r="E2" s="322"/>
      <c r="F2" s="322"/>
      <c r="G2" s="322"/>
      <c r="H2" s="322"/>
      <c r="I2" s="322"/>
    </row>
    <row r="3" spans="1:12" ht="13.5" customHeight="1">
      <c r="A3" s="323"/>
      <c r="B3" s="323"/>
      <c r="C3" s="323"/>
      <c r="D3" s="323"/>
      <c r="E3" s="323"/>
      <c r="F3" s="323"/>
      <c r="G3" s="323"/>
      <c r="H3" s="323"/>
      <c r="I3" s="323"/>
    </row>
    <row r="4" spans="1:12" ht="13.5" customHeight="1">
      <c r="A4" s="24"/>
      <c r="B4" s="22" t="e">
        <f>#REF!</f>
        <v>#REF!</v>
      </c>
      <c r="C4" s="324"/>
      <c r="D4" s="324"/>
      <c r="E4" s="324"/>
      <c r="F4" s="324"/>
      <c r="G4" s="324"/>
      <c r="H4" s="324"/>
      <c r="I4" s="38"/>
    </row>
    <row r="5" spans="1:12" ht="13.5" customHeight="1">
      <c r="A5" s="24"/>
      <c r="B5" s="22"/>
      <c r="C5" s="22">
        <f>IF(ISNA(VLOOKUP(B5,PRESUPUESTOS,2,FALSE)),0,VLOOKUP(B5,PRESUPUESTOS,2,FALSE))</f>
        <v>0</v>
      </c>
      <c r="D5" s="38"/>
      <c r="E5" s="38"/>
      <c r="F5" s="38"/>
      <c r="G5" s="38"/>
      <c r="H5" s="38"/>
      <c r="I5" s="38"/>
    </row>
    <row r="6" spans="1:12" ht="13.5" customHeight="1">
      <c r="A6" s="109" t="s">
        <v>43</v>
      </c>
      <c r="B6" s="16"/>
      <c r="C6" s="162" t="s">
        <v>186</v>
      </c>
      <c r="I6" s="81"/>
    </row>
    <row r="7" spans="1:12" ht="13.5" customHeight="1">
      <c r="A7" s="109" t="s">
        <v>112</v>
      </c>
      <c r="B7" s="162"/>
      <c r="C7" s="167" t="s">
        <v>8</v>
      </c>
      <c r="I7" s="81"/>
    </row>
    <row r="8" spans="1:12" ht="13.5" customHeight="1">
      <c r="A8" s="109" t="s">
        <v>113</v>
      </c>
      <c r="B8" s="162"/>
      <c r="C8" s="163">
        <v>1</v>
      </c>
      <c r="I8" s="81"/>
    </row>
    <row r="9" spans="1:12" ht="16.5" thickBot="1">
      <c r="A9" s="20"/>
      <c r="B9" s="5"/>
      <c r="C9" s="41"/>
      <c r="D9" s="42"/>
      <c r="E9" s="42"/>
      <c r="F9" s="42"/>
      <c r="G9" s="42"/>
      <c r="H9" s="20"/>
      <c r="I9" s="43"/>
    </row>
    <row r="10" spans="1:12" ht="15.75" customHeight="1">
      <c r="A10" s="325" t="s">
        <v>2</v>
      </c>
      <c r="C10" s="325" t="s">
        <v>3</v>
      </c>
      <c r="D10" s="325" t="s">
        <v>4</v>
      </c>
      <c r="E10" s="325" t="s">
        <v>5</v>
      </c>
      <c r="F10" s="205" t="s">
        <v>36</v>
      </c>
      <c r="G10" s="205" t="s">
        <v>26</v>
      </c>
      <c r="H10" s="13" t="s">
        <v>26</v>
      </c>
      <c r="I10" s="327" t="s">
        <v>124</v>
      </c>
    </row>
    <row r="11" spans="1:12">
      <c r="A11" s="326"/>
      <c r="B11" s="9"/>
      <c r="C11" s="326"/>
      <c r="D11" s="326"/>
      <c r="E11" s="326"/>
      <c r="F11" s="9" t="s">
        <v>76</v>
      </c>
      <c r="G11" s="9" t="s">
        <v>77</v>
      </c>
      <c r="H11" s="21" t="s">
        <v>123</v>
      </c>
      <c r="I11" s="328"/>
    </row>
    <row r="12" spans="1:12">
      <c r="A12" s="205">
        <v>1</v>
      </c>
      <c r="B12" s="72" t="s">
        <v>25</v>
      </c>
      <c r="C12" s="48" t="s">
        <v>9</v>
      </c>
      <c r="E12" s="68"/>
      <c r="H12" s="49"/>
    </row>
    <row r="13" spans="1:12">
      <c r="A13" s="205"/>
      <c r="B13" s="70">
        <v>2201</v>
      </c>
      <c r="C13" s="40" t="e">
        <f t="shared" ref="C13:C20" si="0">IF(ISNA(VLOOKUP(B13,CU_MATERIALES,2,FALSE)),0,VLOOKUP(B13,CU_MATERIALES,2,FALSE))</f>
        <v>#REF!</v>
      </c>
      <c r="D13" s="49" t="e">
        <f t="shared" ref="D13:D20" si="1">IF(ISNA(VLOOKUP(B13,CU_MATERIALES,3,FALSE)),0,VLOOKUP(B13,CU_MATERIALES,3,FALSE))</f>
        <v>#REF!</v>
      </c>
      <c r="E13" s="123">
        <v>7.4999999999999997E-2</v>
      </c>
      <c r="F13" s="49"/>
      <c r="G13" s="49"/>
      <c r="H13" s="11" t="e">
        <f t="shared" ref="H13:H20" si="2">IF(ISNA(VLOOKUP(B13,CU_MATERIALES,3,FALSE)),0,VLOOKUP(B13,CU_MATERIALES,4,FALSE))</f>
        <v>#REF!</v>
      </c>
      <c r="I13" s="50" t="e">
        <f t="shared" ref="I13:I20" si="3">ROUND(H13*E13,2)</f>
        <v>#REF!</v>
      </c>
      <c r="K13" s="4">
        <f>0.15*0.05*1</f>
        <v>7.4999999999999997E-3</v>
      </c>
      <c r="L13" s="4">
        <f>K13*10</f>
        <v>7.4999999999999997E-2</v>
      </c>
    </row>
    <row r="14" spans="1:12">
      <c r="A14" s="205"/>
      <c r="B14" s="70">
        <v>500</v>
      </c>
      <c r="C14" s="40" t="e">
        <f t="shared" si="0"/>
        <v>#REF!</v>
      </c>
      <c r="D14" s="49" t="e">
        <f t="shared" si="1"/>
        <v>#REF!</v>
      </c>
      <c r="E14" s="123">
        <v>1.2800000000000001E-2</v>
      </c>
      <c r="F14" s="49"/>
      <c r="G14" s="49"/>
      <c r="H14" s="11" t="e">
        <f t="shared" si="2"/>
        <v>#REF!</v>
      </c>
      <c r="I14" s="50" t="e">
        <f t="shared" si="3"/>
        <v>#REF!</v>
      </c>
      <c r="J14" s="4" t="s">
        <v>116</v>
      </c>
    </row>
    <row r="15" spans="1:12">
      <c r="A15" s="205"/>
      <c r="B15" s="70">
        <v>7000</v>
      </c>
      <c r="C15" s="40" t="e">
        <f t="shared" si="0"/>
        <v>#REF!</v>
      </c>
      <c r="D15" s="49" t="e">
        <f t="shared" si="1"/>
        <v>#REF!</v>
      </c>
      <c r="E15" s="123">
        <v>1.2800000000000001E-2</v>
      </c>
      <c r="F15" s="49"/>
      <c r="G15" s="49"/>
      <c r="H15" s="11" t="e">
        <f t="shared" si="2"/>
        <v>#REF!</v>
      </c>
      <c r="I15" s="50" t="e">
        <f t="shared" si="3"/>
        <v>#REF!</v>
      </c>
      <c r="J15" s="4" t="s">
        <v>117</v>
      </c>
    </row>
    <row r="16" spans="1:12">
      <c r="A16" s="205"/>
      <c r="B16" s="4">
        <v>200</v>
      </c>
      <c r="C16" s="40" t="e">
        <f t="shared" si="0"/>
        <v>#REF!</v>
      </c>
      <c r="D16" s="49" t="e">
        <f t="shared" si="1"/>
        <v>#REF!</v>
      </c>
      <c r="E16" s="123">
        <v>8.8000000000000005E-3</v>
      </c>
      <c r="F16" s="49"/>
      <c r="G16" s="49"/>
      <c r="H16" s="11" t="e">
        <f t="shared" si="2"/>
        <v>#REF!</v>
      </c>
      <c r="I16" s="50" t="e">
        <f t="shared" si="3"/>
        <v>#REF!</v>
      </c>
      <c r="J16" s="4" t="s">
        <v>118</v>
      </c>
    </row>
    <row r="17" spans="1:10">
      <c r="A17" s="205"/>
      <c r="B17" s="4">
        <v>2500</v>
      </c>
      <c r="C17" s="40" t="e">
        <f t="shared" si="0"/>
        <v>#REF!</v>
      </c>
      <c r="D17" s="49" t="e">
        <f t="shared" si="1"/>
        <v>#REF!</v>
      </c>
      <c r="E17" s="123">
        <v>5.6000000000000001E-2</v>
      </c>
      <c r="F17" s="49"/>
      <c r="G17" s="49"/>
      <c r="H17" s="11" t="e">
        <f t="shared" si="2"/>
        <v>#REF!</v>
      </c>
      <c r="I17" s="50" t="e">
        <f t="shared" si="3"/>
        <v>#REF!</v>
      </c>
      <c r="J17" s="4" t="s">
        <v>119</v>
      </c>
    </row>
    <row r="18" spans="1:10">
      <c r="A18" s="205"/>
      <c r="B18" s="4">
        <v>1000</v>
      </c>
      <c r="C18" s="40" t="e">
        <f t="shared" si="0"/>
        <v>#REF!</v>
      </c>
      <c r="D18" s="171" t="e">
        <f t="shared" si="1"/>
        <v>#REF!</v>
      </c>
      <c r="E18" s="123">
        <v>1.3959999999999999</v>
      </c>
      <c r="F18" s="49"/>
      <c r="G18" s="49"/>
      <c r="H18" s="11" t="e">
        <f t="shared" si="2"/>
        <v>#REF!</v>
      </c>
      <c r="I18" s="50" t="e">
        <f t="shared" si="3"/>
        <v>#REF!</v>
      </c>
      <c r="J18" s="4" t="s">
        <v>120</v>
      </c>
    </row>
    <row r="19" spans="1:10">
      <c r="A19" s="205"/>
      <c r="B19" s="70"/>
      <c r="C19" s="40" t="e">
        <f t="shared" si="0"/>
        <v>#REF!</v>
      </c>
      <c r="D19" s="49" t="e">
        <f t="shared" si="1"/>
        <v>#REF!</v>
      </c>
      <c r="E19" s="73"/>
      <c r="F19" s="49"/>
      <c r="G19" s="49"/>
      <c r="H19" s="11" t="e">
        <f t="shared" si="2"/>
        <v>#REF!</v>
      </c>
      <c r="I19" s="50" t="e">
        <f t="shared" si="3"/>
        <v>#REF!</v>
      </c>
    </row>
    <row r="20" spans="1:10">
      <c r="A20" s="205"/>
      <c r="B20" s="70"/>
      <c r="C20" s="40" t="e">
        <f t="shared" si="0"/>
        <v>#REF!</v>
      </c>
      <c r="D20" s="49" t="e">
        <f t="shared" si="1"/>
        <v>#REF!</v>
      </c>
      <c r="E20" s="73"/>
      <c r="F20" s="49"/>
      <c r="G20" s="49"/>
      <c r="H20" s="11" t="e">
        <f t="shared" si="2"/>
        <v>#REF!</v>
      </c>
      <c r="I20" s="50" t="e">
        <f t="shared" si="3"/>
        <v>#REF!</v>
      </c>
    </row>
    <row r="21" spans="1:10" ht="16.5" thickBot="1">
      <c r="A21" s="168"/>
      <c r="B21" s="28"/>
      <c r="C21" s="51" t="s">
        <v>95</v>
      </c>
      <c r="D21" s="52"/>
      <c r="E21" s="75"/>
      <c r="F21" s="52"/>
      <c r="G21" s="52"/>
      <c r="H21" s="30"/>
      <c r="I21" s="54" t="e">
        <f>ROUND(SUM(I13:I20),2)</f>
        <v>#REF!</v>
      </c>
    </row>
    <row r="22" spans="1:10" ht="16.5" thickTop="1">
      <c r="A22" s="205">
        <v>2</v>
      </c>
      <c r="B22" s="72" t="s">
        <v>25</v>
      </c>
      <c r="C22" s="48" t="s">
        <v>29</v>
      </c>
      <c r="E22" s="98"/>
      <c r="H22" s="11"/>
      <c r="I22" s="50"/>
    </row>
    <row r="23" spans="1:10">
      <c r="A23" s="205"/>
      <c r="B23" s="4">
        <v>4900</v>
      </c>
      <c r="C23" s="40" t="e">
        <f t="shared" ref="C23:C33" si="4">IF(ISNA(VLOOKUP(B23,CU_MANO_DE_OBRA,2,FALSE)),0,VLOOKUP(B23,CU_MANO_DE_OBRA,2,FALSE))</f>
        <v>#REF!</v>
      </c>
      <c r="D23" s="49" t="e">
        <f t="shared" ref="D23:D33" si="5">IF(ISNA(VLOOKUP(B23,CU_MANO_DE_OBRA,3,FALSE)),0,VLOOKUP(B23,CU_MANO_DE_OBRA,3,FALSE))</f>
        <v>#REF!</v>
      </c>
      <c r="E23" s="123">
        <v>1.2</v>
      </c>
      <c r="F23" s="49"/>
      <c r="G23" s="49"/>
      <c r="H23" s="11" t="e">
        <f t="shared" ref="H23:H33" si="6">IF(ISNA(VLOOKUP(B23,CU_MANO_DE_OBRA,3,FALSE)),0,VLOOKUP(B23,CU_MANO_DE_OBRA,4,FALSE))</f>
        <v>#REF!</v>
      </c>
      <c r="I23" s="50" t="e">
        <f t="shared" ref="I23:I33" si="7">ROUND(H23*E23,2)</f>
        <v>#REF!</v>
      </c>
      <c r="J23" s="4" t="s">
        <v>121</v>
      </c>
    </row>
    <row r="24" spans="1:10">
      <c r="A24" s="205"/>
      <c r="B24" s="4">
        <v>7600</v>
      </c>
      <c r="C24" s="40" t="e">
        <f t="shared" si="4"/>
        <v>#REF!</v>
      </c>
      <c r="D24" s="49" t="e">
        <f t="shared" si="5"/>
        <v>#REF!</v>
      </c>
      <c r="E24" s="123">
        <v>0.5</v>
      </c>
      <c r="F24" s="49"/>
      <c r="G24" s="49"/>
      <c r="H24" s="37" t="e">
        <f t="shared" si="6"/>
        <v>#REF!</v>
      </c>
      <c r="I24" s="50" t="e">
        <f t="shared" si="7"/>
        <v>#REF!</v>
      </c>
      <c r="J24" s="4" t="s">
        <v>121</v>
      </c>
    </row>
    <row r="25" spans="1:10">
      <c r="A25" s="205"/>
      <c r="B25" s="4">
        <v>7400</v>
      </c>
      <c r="C25" s="40" t="e">
        <f t="shared" si="4"/>
        <v>#REF!</v>
      </c>
      <c r="D25" s="49" t="e">
        <f t="shared" si="5"/>
        <v>#REF!</v>
      </c>
      <c r="E25" s="123">
        <v>1.2</v>
      </c>
      <c r="F25" s="49"/>
      <c r="G25" s="49"/>
      <c r="H25" s="37" t="e">
        <f t="shared" si="6"/>
        <v>#REF!</v>
      </c>
      <c r="I25" s="50" t="e">
        <f t="shared" si="7"/>
        <v>#REF!</v>
      </c>
      <c r="J25" s="4" t="s">
        <v>121</v>
      </c>
    </row>
    <row r="26" spans="1:10">
      <c r="A26" s="205"/>
      <c r="C26" s="40" t="e">
        <f t="shared" si="4"/>
        <v>#REF!</v>
      </c>
      <c r="D26" s="49" t="e">
        <f t="shared" si="5"/>
        <v>#REF!</v>
      </c>
      <c r="E26" s="98"/>
      <c r="F26" s="49"/>
      <c r="G26" s="49"/>
      <c r="H26" s="37" t="e">
        <f t="shared" si="6"/>
        <v>#REF!</v>
      </c>
      <c r="I26" s="50" t="e">
        <f t="shared" si="7"/>
        <v>#REF!</v>
      </c>
    </row>
    <row r="27" spans="1:10">
      <c r="A27" s="205"/>
      <c r="C27" s="40" t="e">
        <f t="shared" si="4"/>
        <v>#REF!</v>
      </c>
      <c r="D27" s="49" t="e">
        <f t="shared" si="5"/>
        <v>#REF!</v>
      </c>
      <c r="E27" s="73"/>
      <c r="F27" s="49"/>
      <c r="G27" s="49"/>
      <c r="H27" s="37" t="e">
        <f t="shared" si="6"/>
        <v>#REF!</v>
      </c>
      <c r="I27" s="50" t="e">
        <f t="shared" si="7"/>
        <v>#REF!</v>
      </c>
    </row>
    <row r="28" spans="1:10">
      <c r="A28" s="205"/>
      <c r="C28" s="40" t="e">
        <f t="shared" si="4"/>
        <v>#REF!</v>
      </c>
      <c r="D28" s="49" t="e">
        <f t="shared" si="5"/>
        <v>#REF!</v>
      </c>
      <c r="E28" s="73"/>
      <c r="F28" s="49"/>
      <c r="G28" s="49"/>
      <c r="H28" s="37" t="e">
        <f t="shared" si="6"/>
        <v>#REF!</v>
      </c>
      <c r="I28" s="50" t="e">
        <f t="shared" si="7"/>
        <v>#REF!</v>
      </c>
    </row>
    <row r="29" spans="1:10">
      <c r="A29" s="205"/>
      <c r="C29" s="40" t="e">
        <f t="shared" si="4"/>
        <v>#REF!</v>
      </c>
      <c r="D29" s="49" t="e">
        <f t="shared" si="5"/>
        <v>#REF!</v>
      </c>
      <c r="E29" s="73"/>
      <c r="F29" s="49"/>
      <c r="G29" s="49"/>
      <c r="H29" s="37" t="e">
        <f t="shared" si="6"/>
        <v>#REF!</v>
      </c>
      <c r="I29" s="50" t="e">
        <f t="shared" si="7"/>
        <v>#REF!</v>
      </c>
    </row>
    <row r="30" spans="1:10">
      <c r="A30" s="205"/>
      <c r="C30" s="40" t="e">
        <f t="shared" si="4"/>
        <v>#REF!</v>
      </c>
      <c r="D30" s="49" t="e">
        <f t="shared" si="5"/>
        <v>#REF!</v>
      </c>
      <c r="E30" s="73"/>
      <c r="F30" s="49"/>
      <c r="G30" s="49"/>
      <c r="H30" s="37" t="e">
        <f t="shared" si="6"/>
        <v>#REF!</v>
      </c>
      <c r="I30" s="50" t="e">
        <f t="shared" si="7"/>
        <v>#REF!</v>
      </c>
    </row>
    <row r="31" spans="1:10">
      <c r="A31" s="205"/>
      <c r="C31" s="40" t="e">
        <f t="shared" si="4"/>
        <v>#REF!</v>
      </c>
      <c r="D31" s="49" t="e">
        <f t="shared" si="5"/>
        <v>#REF!</v>
      </c>
      <c r="E31" s="73"/>
      <c r="F31" s="49"/>
      <c r="G31" s="49"/>
      <c r="H31" s="37" t="e">
        <f t="shared" si="6"/>
        <v>#REF!</v>
      </c>
      <c r="I31" s="50" t="e">
        <f t="shared" si="7"/>
        <v>#REF!</v>
      </c>
    </row>
    <row r="32" spans="1:10" ht="16.5" thickBot="1">
      <c r="A32" s="205"/>
      <c r="C32" s="51" t="s">
        <v>30</v>
      </c>
      <c r="D32" s="52"/>
      <c r="E32" s="75"/>
      <c r="F32" s="52"/>
      <c r="G32" s="52"/>
      <c r="H32" s="30"/>
      <c r="I32" s="54" t="e">
        <f>ROUND(SUM(I23:I31),2)</f>
        <v>#REF!</v>
      </c>
    </row>
    <row r="33" spans="1:10" ht="16.5" thickTop="1">
      <c r="A33" s="205"/>
      <c r="B33" s="26">
        <v>300</v>
      </c>
      <c r="C33" s="55" t="e">
        <f t="shared" si="4"/>
        <v>#REF!</v>
      </c>
      <c r="D33" s="149" t="e">
        <f t="shared" si="5"/>
        <v>#REF!</v>
      </c>
      <c r="E33" s="146" t="e">
        <f>SUM(I32)</f>
        <v>#REF!</v>
      </c>
      <c r="F33" s="56"/>
      <c r="G33" s="56"/>
      <c r="H33" s="76" t="e">
        <f t="shared" si="6"/>
        <v>#REF!</v>
      </c>
      <c r="I33" s="50" t="e">
        <f t="shared" si="7"/>
        <v>#REF!</v>
      </c>
    </row>
    <row r="34" spans="1:10" ht="16.5" thickBot="1">
      <c r="A34" s="168"/>
      <c r="B34" s="28"/>
      <c r="C34" s="51" t="s">
        <v>96</v>
      </c>
      <c r="D34" s="52"/>
      <c r="E34" s="75"/>
      <c r="F34" s="52"/>
      <c r="G34" s="52"/>
      <c r="H34" s="30"/>
      <c r="I34" s="54" t="e">
        <f>ROUND(SUM(I32:I33),2)</f>
        <v>#REF!</v>
      </c>
    </row>
    <row r="35" spans="1:10" ht="16.5" thickTop="1">
      <c r="A35" s="205">
        <v>3</v>
      </c>
      <c r="B35" s="72" t="s">
        <v>25</v>
      </c>
      <c r="C35" s="48" t="s">
        <v>98</v>
      </c>
      <c r="E35" s="73"/>
      <c r="H35" s="11"/>
      <c r="I35" s="50"/>
    </row>
    <row r="36" spans="1:10">
      <c r="A36" s="205"/>
      <c r="D36" s="49" t="e">
        <f t="shared" ref="D36:D46" si="8">IF(ISNA(VLOOKUP(B36,CU_EQUIPO,3,FALSE)),0,VLOOKUP(B36,CU_EQUIPO,3,FALSE))</f>
        <v>#REF!</v>
      </c>
      <c r="E36" s="123"/>
      <c r="F36" s="49"/>
      <c r="G36" s="49"/>
      <c r="H36" s="11" t="e">
        <f t="shared" ref="H36:H46" si="9">IF(ISNA(VLOOKUP(B36,CU_EQUIPO,3,FALSE)),0,VLOOKUP(B36,CU_EQUIPO,4,FALSE))</f>
        <v>#REF!</v>
      </c>
      <c r="I36" s="50" t="e">
        <f t="shared" ref="I36:I46" si="10">ROUND(H36*E36,2)</f>
        <v>#REF!</v>
      </c>
      <c r="J36" s="4" t="s">
        <v>122</v>
      </c>
    </row>
    <row r="37" spans="1:10">
      <c r="A37" s="205"/>
      <c r="D37" s="49" t="e">
        <f t="shared" si="8"/>
        <v>#REF!</v>
      </c>
      <c r="E37" s="123"/>
      <c r="F37" s="49"/>
      <c r="G37" s="49"/>
      <c r="H37" s="19" t="e">
        <f t="shared" si="9"/>
        <v>#REF!</v>
      </c>
      <c r="I37" s="50" t="e">
        <f t="shared" si="10"/>
        <v>#REF!</v>
      </c>
    </row>
    <row r="38" spans="1:10">
      <c r="A38" s="206"/>
      <c r="C38" s="40" t="e">
        <f t="shared" ref="C38:C46" si="11">IF(ISNA(VLOOKUP(B38,CU_EQUIPO,2,FALSE)),0,VLOOKUP(B38,CU_EQUIPO,2,FALSE))</f>
        <v>#REF!</v>
      </c>
      <c r="D38" s="49" t="e">
        <f t="shared" si="8"/>
        <v>#REF!</v>
      </c>
      <c r="E38" s="73"/>
      <c r="F38" s="49"/>
      <c r="G38" s="49"/>
      <c r="H38" s="19" t="e">
        <f t="shared" si="9"/>
        <v>#REF!</v>
      </c>
      <c r="I38" s="50" t="e">
        <f t="shared" si="10"/>
        <v>#REF!</v>
      </c>
    </row>
    <row r="39" spans="1:10">
      <c r="A39" s="206"/>
      <c r="C39" s="40" t="e">
        <f t="shared" si="11"/>
        <v>#REF!</v>
      </c>
      <c r="D39" s="49" t="e">
        <f t="shared" si="8"/>
        <v>#REF!</v>
      </c>
      <c r="E39" s="73"/>
      <c r="F39" s="49"/>
      <c r="G39" s="49"/>
      <c r="H39" s="11" t="e">
        <f t="shared" si="9"/>
        <v>#REF!</v>
      </c>
      <c r="I39" s="50" t="e">
        <f t="shared" si="10"/>
        <v>#REF!</v>
      </c>
    </row>
    <row r="40" spans="1:10">
      <c r="A40" s="206"/>
      <c r="C40" s="40" t="e">
        <f t="shared" si="11"/>
        <v>#REF!</v>
      </c>
      <c r="D40" s="49" t="e">
        <f t="shared" si="8"/>
        <v>#REF!</v>
      </c>
      <c r="E40" s="73"/>
      <c r="F40" s="49"/>
      <c r="G40" s="49"/>
      <c r="H40" s="11" t="e">
        <f t="shared" si="9"/>
        <v>#REF!</v>
      </c>
      <c r="I40" s="50" t="e">
        <f t="shared" si="10"/>
        <v>#REF!</v>
      </c>
    </row>
    <row r="41" spans="1:10">
      <c r="A41" s="206"/>
      <c r="C41" s="40" t="e">
        <f t="shared" si="11"/>
        <v>#REF!</v>
      </c>
      <c r="D41" s="49" t="e">
        <f t="shared" si="8"/>
        <v>#REF!</v>
      </c>
      <c r="E41" s="73"/>
      <c r="F41" s="49"/>
      <c r="G41" s="49"/>
      <c r="H41" s="11" t="e">
        <f t="shared" si="9"/>
        <v>#REF!</v>
      </c>
      <c r="I41" s="50" t="e">
        <f t="shared" si="10"/>
        <v>#REF!</v>
      </c>
    </row>
    <row r="42" spans="1:10">
      <c r="A42" s="206"/>
      <c r="C42" s="40" t="e">
        <f t="shared" si="11"/>
        <v>#REF!</v>
      </c>
      <c r="D42" s="49" t="e">
        <f t="shared" si="8"/>
        <v>#REF!</v>
      </c>
      <c r="E42" s="73"/>
      <c r="F42" s="49"/>
      <c r="G42" s="49"/>
      <c r="H42" s="11" t="e">
        <f t="shared" si="9"/>
        <v>#REF!</v>
      </c>
      <c r="I42" s="50" t="e">
        <f t="shared" si="10"/>
        <v>#REF!</v>
      </c>
    </row>
    <row r="43" spans="1:10">
      <c r="A43" s="206"/>
      <c r="C43" s="40" t="e">
        <f t="shared" si="11"/>
        <v>#REF!</v>
      </c>
      <c r="D43" s="49" t="e">
        <f t="shared" si="8"/>
        <v>#REF!</v>
      </c>
      <c r="E43" s="73"/>
      <c r="F43" s="49"/>
      <c r="G43" s="49"/>
      <c r="H43" s="11" t="e">
        <f t="shared" si="9"/>
        <v>#REF!</v>
      </c>
      <c r="I43" s="50" t="e">
        <f t="shared" si="10"/>
        <v>#REF!</v>
      </c>
    </row>
    <row r="44" spans="1:10">
      <c r="A44" s="206"/>
      <c r="C44" s="40" t="e">
        <f t="shared" si="11"/>
        <v>#REF!</v>
      </c>
      <c r="D44" s="49" t="e">
        <f t="shared" si="8"/>
        <v>#REF!</v>
      </c>
      <c r="E44" s="73"/>
      <c r="F44" s="49"/>
      <c r="G44" s="49"/>
      <c r="H44" s="11" t="e">
        <f t="shared" si="9"/>
        <v>#REF!</v>
      </c>
      <c r="I44" s="50" t="e">
        <f t="shared" si="10"/>
        <v>#REF!</v>
      </c>
    </row>
    <row r="45" spans="1:10">
      <c r="A45" s="206"/>
      <c r="C45" s="40" t="e">
        <f t="shared" si="11"/>
        <v>#REF!</v>
      </c>
      <c r="D45" s="49" t="e">
        <f t="shared" si="8"/>
        <v>#REF!</v>
      </c>
      <c r="E45" s="73"/>
      <c r="F45" s="49"/>
      <c r="G45" s="49"/>
      <c r="H45" s="11" t="e">
        <f t="shared" si="9"/>
        <v>#REF!</v>
      </c>
      <c r="I45" s="50" t="e">
        <f t="shared" si="10"/>
        <v>#REF!</v>
      </c>
    </row>
    <row r="46" spans="1:10">
      <c r="A46" s="206"/>
      <c r="B46" s="26">
        <v>20000</v>
      </c>
      <c r="C46" s="55" t="e">
        <f t="shared" si="11"/>
        <v>#REF!</v>
      </c>
      <c r="D46" s="149" t="e">
        <f t="shared" si="8"/>
        <v>#REF!</v>
      </c>
      <c r="E46" s="146" t="e">
        <f>I32</f>
        <v>#REF!</v>
      </c>
      <c r="F46" s="56"/>
      <c r="G46" s="56"/>
      <c r="H46" s="76" t="e">
        <f t="shared" si="9"/>
        <v>#REF!</v>
      </c>
      <c r="I46" s="50" t="e">
        <f t="shared" si="10"/>
        <v>#REF!</v>
      </c>
    </row>
    <row r="47" spans="1:10" ht="16.5" thickBot="1">
      <c r="A47" s="28"/>
      <c r="B47" s="28"/>
      <c r="C47" s="51" t="s">
        <v>102</v>
      </c>
      <c r="D47" s="151"/>
      <c r="E47" s="151"/>
      <c r="F47" s="52"/>
      <c r="G47" s="52"/>
      <c r="H47" s="53"/>
      <c r="I47" s="54" t="e">
        <f>ROUND(SUM(I36:I46),2)</f>
        <v>#REF!</v>
      </c>
    </row>
    <row r="48" spans="1:10" ht="16.5" thickTop="1">
      <c r="C48" s="6"/>
      <c r="D48" s="4"/>
      <c r="E48" s="4"/>
      <c r="F48" s="4"/>
      <c r="G48" s="4"/>
      <c r="H48" s="11"/>
      <c r="I48" s="14"/>
    </row>
    <row r="49" spans="1:12">
      <c r="C49" s="17" t="s">
        <v>55</v>
      </c>
      <c r="D49" s="4"/>
      <c r="E49" s="4"/>
      <c r="F49" s="4"/>
      <c r="G49" s="4"/>
      <c r="H49" s="11"/>
      <c r="I49" s="15" t="e">
        <f>I21+I34+I47</f>
        <v>#REF!</v>
      </c>
      <c r="J49" s="4" t="e">
        <f>I49*1.4</f>
        <v>#REF!</v>
      </c>
    </row>
    <row r="50" spans="1:12" ht="16.5" thickBot="1">
      <c r="A50" s="103"/>
      <c r="B50" s="103"/>
      <c r="C50" s="104"/>
      <c r="D50" s="103"/>
      <c r="E50" s="103"/>
      <c r="F50" s="103"/>
      <c r="G50" s="103"/>
      <c r="H50" s="105"/>
      <c r="I50" s="107"/>
    </row>
    <row r="51" spans="1:12" ht="18" customHeight="1" thickTop="1">
      <c r="A51" s="205">
        <v>4</v>
      </c>
      <c r="C51" s="17" t="s">
        <v>50</v>
      </c>
      <c r="D51" s="4"/>
      <c r="E51" s="4"/>
      <c r="F51" s="4"/>
      <c r="G51" s="4"/>
      <c r="H51" s="11"/>
      <c r="I51" s="14"/>
    </row>
    <row r="52" spans="1:12">
      <c r="C52" s="6"/>
      <c r="D52" s="4"/>
      <c r="E52" s="4"/>
      <c r="F52" s="4"/>
      <c r="G52" s="4"/>
      <c r="H52" s="11"/>
      <c r="I52" s="14"/>
    </row>
    <row r="53" spans="1:12">
      <c r="C53" s="6" t="s">
        <v>99</v>
      </c>
      <c r="D53" s="4"/>
      <c r="E53" s="4"/>
      <c r="F53" s="4"/>
      <c r="G53" s="4"/>
      <c r="H53" s="147">
        <f>Presupuesto!E88</f>
        <v>0.13</v>
      </c>
      <c r="I53" s="14" t="e">
        <f>ROUND((Presupuesto!E88)*I49,2)</f>
        <v>#REF!</v>
      </c>
    </row>
    <row r="54" spans="1:12" hidden="1">
      <c r="C54" s="6" t="s">
        <v>100</v>
      </c>
      <c r="D54" s="4"/>
      <c r="E54" s="4"/>
      <c r="F54" s="4"/>
      <c r="G54" s="4"/>
      <c r="H54" s="147">
        <f>Presupuesto!E89</f>
        <v>0</v>
      </c>
      <c r="I54" s="14" t="e">
        <f>ROUND((Presupuesto!E89)*I49,2)</f>
        <v>#REF!</v>
      </c>
    </row>
    <row r="55" spans="1:12" ht="16.5" thickBot="1">
      <c r="A55" s="28"/>
      <c r="B55" s="28"/>
      <c r="C55" s="29" t="s">
        <v>53</v>
      </c>
      <c r="D55" s="28"/>
      <c r="E55" s="28"/>
      <c r="F55" s="28"/>
      <c r="G55" s="28"/>
      <c r="H55" s="30"/>
      <c r="I55" s="108" t="e">
        <f>SUM(I53:I54)</f>
        <v>#REF!</v>
      </c>
    </row>
    <row r="56" spans="1:12" ht="16.5" thickTop="1">
      <c r="A56" s="205">
        <v>5</v>
      </c>
      <c r="C56" s="17" t="s">
        <v>16</v>
      </c>
      <c r="D56" s="4"/>
      <c r="E56" s="4"/>
      <c r="F56" s="4"/>
      <c r="G56" s="4"/>
      <c r="H56" s="11"/>
      <c r="I56" s="14"/>
    </row>
    <row r="57" spans="1:12">
      <c r="C57" s="6"/>
      <c r="D57" s="4"/>
      <c r="E57" s="4"/>
      <c r="F57" s="4"/>
      <c r="G57" s="4"/>
      <c r="H57" s="11"/>
      <c r="I57" s="14"/>
    </row>
    <row r="58" spans="1:12">
      <c r="C58" s="6" t="s">
        <v>101</v>
      </c>
      <c r="D58" s="4"/>
      <c r="E58" s="4"/>
      <c r="F58" s="4"/>
      <c r="G58" s="4"/>
      <c r="H58" s="150">
        <f>Presupuesto!E90</f>
        <v>7.0000000000000007E-2</v>
      </c>
      <c r="I58" s="14" t="e">
        <f>ROUND((Presupuesto!E90)*(I49+I55),2)</f>
        <v>#REF!</v>
      </c>
    </row>
    <row r="59" spans="1:12" ht="16.5" thickBot="1">
      <c r="A59" s="28"/>
      <c r="B59" s="28"/>
      <c r="C59" s="29" t="s">
        <v>54</v>
      </c>
      <c r="D59" s="28"/>
      <c r="E59" s="28"/>
      <c r="F59" s="28"/>
      <c r="G59" s="28"/>
      <c r="H59" s="30"/>
      <c r="I59" s="108" t="e">
        <f>SUM(I58)</f>
        <v>#REF!</v>
      </c>
    </row>
    <row r="60" spans="1:12" ht="16.5" hidden="1" thickTop="1">
      <c r="C60" s="6"/>
      <c r="D60" s="4"/>
      <c r="E60" s="4"/>
      <c r="F60" s="4"/>
      <c r="G60" s="4"/>
      <c r="H60" s="11"/>
      <c r="I60" s="14"/>
    </row>
    <row r="61" spans="1:12" ht="16.5" hidden="1" thickTop="1">
      <c r="A61" s="8"/>
      <c r="B61" s="8"/>
      <c r="C61" s="109" t="s">
        <v>56</v>
      </c>
      <c r="D61" s="8"/>
      <c r="E61" s="8"/>
      <c r="F61" s="8"/>
      <c r="G61" s="8"/>
      <c r="H61" s="110"/>
      <c r="I61" s="112" t="e">
        <f>+I55+I59</f>
        <v>#REF!</v>
      </c>
    </row>
    <row r="62" spans="1:12" ht="17.25" hidden="1" thickTop="1" thickBot="1">
      <c r="A62" s="103"/>
      <c r="B62" s="103"/>
      <c r="C62" s="104"/>
      <c r="D62" s="103"/>
      <c r="E62" s="103"/>
      <c r="F62" s="103"/>
      <c r="G62" s="103"/>
      <c r="H62" s="105"/>
      <c r="I62" s="113"/>
    </row>
    <row r="63" spans="1:12" ht="16.5" thickTop="1">
      <c r="A63" s="8"/>
      <c r="B63" s="8"/>
      <c r="C63" s="32"/>
      <c r="D63" s="8"/>
      <c r="E63" s="8"/>
      <c r="F63" s="8"/>
      <c r="G63" s="8"/>
      <c r="H63" s="110"/>
      <c r="I63" s="114"/>
    </row>
    <row r="64" spans="1:12">
      <c r="C64" s="17" t="s">
        <v>57</v>
      </c>
      <c r="D64" s="4"/>
      <c r="E64" s="4"/>
      <c r="F64" s="4"/>
      <c r="G64" s="4"/>
      <c r="H64" s="11"/>
      <c r="I64" s="57" t="e">
        <f>TRUNC(I49+I61,2)</f>
        <v>#REF!</v>
      </c>
      <c r="J64" s="4">
        <v>9015.42</v>
      </c>
      <c r="L64" s="39"/>
    </row>
    <row r="65" spans="1:12" ht="16.5" thickBot="1">
      <c r="A65" s="5"/>
      <c r="B65" s="5"/>
      <c r="C65" s="33"/>
      <c r="D65" s="5"/>
      <c r="E65" s="5"/>
      <c r="F65" s="5"/>
      <c r="G65" s="5"/>
      <c r="H65" s="20"/>
      <c r="I65" s="35"/>
    </row>
    <row r="68" spans="1:12">
      <c r="L68" s="156"/>
    </row>
  </sheetData>
  <mergeCells count="8">
    <mergeCell ref="A1:I2"/>
    <mergeCell ref="A3:I3"/>
    <mergeCell ref="C4:H4"/>
    <mergeCell ref="A10:A11"/>
    <mergeCell ref="C10:C11"/>
    <mergeCell ref="D10:D11"/>
    <mergeCell ref="E10:E11"/>
    <mergeCell ref="I10:I11"/>
  </mergeCells>
  <printOptions horizontalCentered="1" verticalCentered="1"/>
  <pageMargins left="0.91" right="0.75" top="0.8" bottom="1" header="0" footer="0"/>
  <pageSetup scale="66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91">
    <tabColor theme="1" tint="4.9989318521683403E-2"/>
    <pageSetUpPr fitToPage="1"/>
  </sheetPr>
  <dimension ref="A1:J65"/>
  <sheetViews>
    <sheetView showGridLines="0" showZeros="0" view="pageBreakPreview" zoomScale="60" zoomScaleNormal="75" workbookViewId="0">
      <pane ySplit="9" topLeftCell="A25" activePane="bottomLeft" state="frozen"/>
      <selection activeCell="G65" sqref="G65"/>
      <selection pane="bottomLeft" activeCell="F3" sqref="F1:G1048576"/>
    </sheetView>
  </sheetViews>
  <sheetFormatPr baseColWidth="10" defaultColWidth="9.140625" defaultRowHeight="15.75"/>
  <cols>
    <col min="1" max="1" width="11.5703125" style="4" customWidth="1"/>
    <col min="2" max="2" width="10.42578125" style="4" hidden="1" customWidth="1"/>
    <col min="3" max="3" width="45.140625" style="40" customWidth="1"/>
    <col min="4" max="5" width="15.7109375" style="39" customWidth="1"/>
    <col min="6" max="6" width="15.7109375" style="39" hidden="1" customWidth="1"/>
    <col min="7" max="7" width="19.7109375" style="39" hidden="1" customWidth="1"/>
    <col min="8" max="8" width="21.42578125" style="46" customWidth="1"/>
    <col min="9" max="9" width="15.7109375" style="39" customWidth="1"/>
    <col min="10" max="10" width="11.5703125" style="4" customWidth="1"/>
    <col min="11" max="16384" width="9.140625" style="4"/>
  </cols>
  <sheetData>
    <row r="1" spans="1:10">
      <c r="A1" s="329" t="s">
        <v>90</v>
      </c>
      <c r="B1" s="329"/>
      <c r="C1" s="329"/>
      <c r="D1" s="329"/>
      <c r="E1" s="329"/>
      <c r="F1" s="329"/>
      <c r="G1" s="329"/>
      <c r="H1" s="329"/>
      <c r="I1" s="329"/>
    </row>
    <row r="2" spans="1:10" ht="13.5" customHeight="1">
      <c r="A2" s="329"/>
      <c r="B2" s="329"/>
      <c r="C2" s="329"/>
      <c r="D2" s="329"/>
      <c r="E2" s="329"/>
      <c r="F2" s="329"/>
      <c r="G2" s="329"/>
      <c r="H2" s="329"/>
      <c r="I2" s="329"/>
    </row>
    <row r="3" spans="1:10" ht="13.5" customHeight="1">
      <c r="A3" s="24"/>
      <c r="B3" s="22"/>
      <c r="C3" s="38"/>
      <c r="D3" s="38"/>
      <c r="E3" s="38"/>
      <c r="F3" s="38"/>
      <c r="G3" s="38"/>
      <c r="H3" s="38"/>
      <c r="I3" s="38"/>
    </row>
    <row r="4" spans="1:10" ht="13.5" customHeight="1">
      <c r="A4" s="24"/>
      <c r="B4" s="22" t="e">
        <f>#REF!</f>
        <v>#REF!</v>
      </c>
      <c r="C4" s="324" t="e">
        <f>IF(ISNA(VLOOKUP(B4,PROYECTOS!$A$8:$B$55,2,FALSE)),0,VLOOKUP(B4,PROYECTOS!$A$8:$B$55,2,FALSE))</f>
        <v>#REF!</v>
      </c>
      <c r="D4" s="324"/>
      <c r="E4" s="324"/>
      <c r="F4" s="324"/>
      <c r="G4" s="324"/>
      <c r="H4" s="324"/>
      <c r="I4" s="38"/>
    </row>
    <row r="5" spans="1:10" ht="13.5" customHeight="1">
      <c r="A5" s="24"/>
      <c r="B5" s="22"/>
      <c r="C5" s="38"/>
      <c r="D5" s="38"/>
      <c r="E5" s="38"/>
      <c r="F5" s="38"/>
      <c r="G5" s="38"/>
      <c r="H5" s="38"/>
      <c r="I5" s="38"/>
    </row>
    <row r="6" spans="1:10" ht="13.5" customHeight="1">
      <c r="A6" s="32" t="s">
        <v>43</v>
      </c>
      <c r="C6" s="8" t="s">
        <v>88</v>
      </c>
      <c r="H6" s="46" t="s">
        <v>44</v>
      </c>
      <c r="I6" s="81" t="s">
        <v>8</v>
      </c>
    </row>
    <row r="7" spans="1:10" ht="16.5" thickBot="1">
      <c r="A7" s="20"/>
      <c r="B7" s="5"/>
      <c r="C7" s="41"/>
      <c r="D7" s="42"/>
      <c r="E7" s="42"/>
      <c r="F7" s="42"/>
      <c r="G7" s="42"/>
      <c r="H7" s="20"/>
      <c r="I7" s="43"/>
    </row>
    <row r="8" spans="1:10">
      <c r="D8" s="44"/>
      <c r="F8" s="133" t="s">
        <v>36</v>
      </c>
      <c r="G8" s="133" t="s">
        <v>26</v>
      </c>
      <c r="H8" s="45" t="s">
        <v>26</v>
      </c>
      <c r="I8" s="46"/>
      <c r="J8" s="18"/>
    </row>
    <row r="9" spans="1:10">
      <c r="A9" s="9" t="s">
        <v>2</v>
      </c>
      <c r="B9" s="9"/>
      <c r="C9" s="9" t="s">
        <v>3</v>
      </c>
      <c r="D9" s="47" t="s">
        <v>4</v>
      </c>
      <c r="E9" s="47" t="s">
        <v>5</v>
      </c>
      <c r="F9" s="9" t="s">
        <v>76</v>
      </c>
      <c r="G9" s="9" t="s">
        <v>77</v>
      </c>
      <c r="H9" s="47" t="s">
        <v>23</v>
      </c>
      <c r="I9" s="47" t="s">
        <v>19</v>
      </c>
    </row>
    <row r="10" spans="1:10">
      <c r="A10" s="16">
        <v>1</v>
      </c>
      <c r="B10" s="72" t="s">
        <v>25</v>
      </c>
      <c r="C10" s="48" t="s">
        <v>9</v>
      </c>
      <c r="E10" s="68"/>
      <c r="H10" s="49"/>
    </row>
    <row r="11" spans="1:10">
      <c r="A11" s="16"/>
      <c r="B11" s="130">
        <v>2754</v>
      </c>
      <c r="C11" s="125" t="e">
        <f t="shared" ref="C11:C20" si="0">IF(ISNA(VLOOKUP(B11,CU_MATERIALES,2,FALSE)),0,VLOOKUP(B11,CU_MATERIALES,2,FALSE))</f>
        <v>#REF!</v>
      </c>
      <c r="D11" s="49" t="e">
        <f t="shared" ref="D11:D20" si="1">IF(ISNA(VLOOKUP(B11,CU_MATERIALES,3,FALSE)),0,VLOOKUP(B11,CU_MATERIALES,3,FALSE))</f>
        <v>#REF!</v>
      </c>
      <c r="E11" s="98">
        <v>1</v>
      </c>
      <c r="F11" s="49"/>
      <c r="G11" s="49"/>
      <c r="H11" s="36" t="e">
        <f t="shared" ref="H11:H20" si="2">IF(ISNA(VLOOKUP(B11,CU_MATERIALES,3,FALSE)),0,VLOOKUP(B11,CU_MATERIALES,4,FALSE))</f>
        <v>#REF!</v>
      </c>
      <c r="I11" s="50" t="e">
        <f t="shared" ref="I11:I16" si="3">ROUND(H11*E11,2)</f>
        <v>#REF!</v>
      </c>
      <c r="J11" s="7"/>
    </row>
    <row r="12" spans="1:10">
      <c r="A12" s="16"/>
      <c r="B12" s="4">
        <v>2100</v>
      </c>
      <c r="C12" s="125" t="e">
        <f t="shared" si="0"/>
        <v>#REF!</v>
      </c>
      <c r="D12" s="126" t="e">
        <f t="shared" si="1"/>
        <v>#REF!</v>
      </c>
      <c r="E12" s="98">
        <f>ROUND(42*2.54/100*3.1416*0.3*0.12/2,4)</f>
        <v>6.0299999999999999E-2</v>
      </c>
      <c r="F12" s="126"/>
      <c r="G12" s="126"/>
      <c r="H12" s="127" t="e">
        <f t="shared" si="2"/>
        <v>#REF!</v>
      </c>
      <c r="I12" s="50" t="e">
        <f t="shared" si="3"/>
        <v>#REF!</v>
      </c>
      <c r="J12" s="7"/>
    </row>
    <row r="13" spans="1:10">
      <c r="A13" s="16"/>
      <c r="B13" s="4">
        <v>4450</v>
      </c>
      <c r="C13" s="125" t="e">
        <f t="shared" si="0"/>
        <v>#REF!</v>
      </c>
      <c r="D13" s="126" t="e">
        <f t="shared" si="1"/>
        <v>#REF!</v>
      </c>
      <c r="E13" s="98">
        <f>ROUND(42*3.1416/36,4)</f>
        <v>3.6652</v>
      </c>
      <c r="F13" s="126"/>
      <c r="G13" s="126"/>
      <c r="H13" s="127" t="e">
        <f t="shared" si="2"/>
        <v>#REF!</v>
      </c>
      <c r="I13" s="129" t="e">
        <f t="shared" si="3"/>
        <v>#REF!</v>
      </c>
      <c r="J13" s="7"/>
    </row>
    <row r="14" spans="1:10">
      <c r="A14" s="16"/>
      <c r="B14" s="4">
        <v>300</v>
      </c>
      <c r="C14" s="125" t="e">
        <f t="shared" si="0"/>
        <v>#REF!</v>
      </c>
      <c r="D14" s="126" t="e">
        <f t="shared" si="1"/>
        <v>#REF!</v>
      </c>
      <c r="E14" s="98">
        <v>1</v>
      </c>
      <c r="F14" s="126"/>
      <c r="G14" s="126"/>
      <c r="H14" s="127" t="e">
        <f t="shared" si="2"/>
        <v>#REF!</v>
      </c>
      <c r="I14" s="129" t="e">
        <f t="shared" si="3"/>
        <v>#REF!</v>
      </c>
      <c r="J14" s="7"/>
    </row>
    <row r="15" spans="1:10">
      <c r="A15" s="16"/>
      <c r="B15" s="137">
        <v>250</v>
      </c>
      <c r="C15" s="125" t="e">
        <f t="shared" si="0"/>
        <v>#REF!</v>
      </c>
      <c r="D15" s="126" t="e">
        <f t="shared" si="1"/>
        <v>#REF!</v>
      </c>
      <c r="E15" s="132">
        <f>ROUND(0.2*1*((42*2*2.54)/100),4)</f>
        <v>0.42670000000000002</v>
      </c>
      <c r="F15" s="126"/>
      <c r="G15" s="126"/>
      <c r="H15" s="127" t="e">
        <f t="shared" si="2"/>
        <v>#REF!</v>
      </c>
      <c r="I15" s="129" t="e">
        <f t="shared" si="3"/>
        <v>#REF!</v>
      </c>
      <c r="J15" s="7"/>
    </row>
    <row r="16" spans="1:10">
      <c r="A16" s="16"/>
      <c r="B16" s="137"/>
      <c r="C16" s="125" t="e">
        <f t="shared" si="0"/>
        <v>#REF!</v>
      </c>
      <c r="D16" s="126" t="e">
        <f t="shared" si="1"/>
        <v>#REF!</v>
      </c>
      <c r="E16" s="132"/>
      <c r="F16" s="126"/>
      <c r="G16" s="126"/>
      <c r="H16" s="127" t="e">
        <f t="shared" si="2"/>
        <v>#REF!</v>
      </c>
      <c r="I16" s="129" t="e">
        <f t="shared" si="3"/>
        <v>#REF!</v>
      </c>
      <c r="J16" s="7"/>
    </row>
    <row r="17" spans="1:10">
      <c r="A17" s="16"/>
      <c r="B17" s="137"/>
      <c r="C17" s="125"/>
      <c r="D17" s="126"/>
      <c r="E17" s="132"/>
      <c r="F17" s="126"/>
      <c r="G17" s="126"/>
      <c r="H17" s="127"/>
      <c r="I17" s="129"/>
      <c r="J17" s="7"/>
    </row>
    <row r="18" spans="1:10">
      <c r="A18" s="16"/>
      <c r="D18" s="49"/>
      <c r="E18" s="98"/>
      <c r="F18" s="49"/>
      <c r="G18" s="49"/>
      <c r="H18" s="36"/>
      <c r="I18" s="50"/>
      <c r="J18" s="7"/>
    </row>
    <row r="19" spans="1:10">
      <c r="A19" s="16"/>
      <c r="C19" s="40" t="e">
        <f t="shared" si="0"/>
        <v>#REF!</v>
      </c>
      <c r="D19" s="49" t="e">
        <f t="shared" si="1"/>
        <v>#REF!</v>
      </c>
      <c r="E19" s="98"/>
      <c r="F19" s="49"/>
      <c r="G19" s="49"/>
      <c r="H19" s="36" t="e">
        <f t="shared" si="2"/>
        <v>#REF!</v>
      </c>
      <c r="I19" s="50" t="e">
        <f>ROUND(H19*E19,2)</f>
        <v>#REF!</v>
      </c>
      <c r="J19" s="7"/>
    </row>
    <row r="20" spans="1:10">
      <c r="A20" s="16"/>
      <c r="C20" s="40" t="e">
        <f t="shared" si="0"/>
        <v>#REF!</v>
      </c>
      <c r="D20" s="49" t="e">
        <f t="shared" si="1"/>
        <v>#REF!</v>
      </c>
      <c r="E20" s="98"/>
      <c r="F20" s="49"/>
      <c r="G20" s="49"/>
      <c r="H20" s="36" t="e">
        <f t="shared" si="2"/>
        <v>#REF!</v>
      </c>
      <c r="I20" s="50" t="e">
        <f>ROUND(H20*E20,2)</f>
        <v>#REF!</v>
      </c>
      <c r="J20" s="7"/>
    </row>
    <row r="21" spans="1:10" ht="16.5" thickBot="1">
      <c r="A21" s="138"/>
      <c r="B21" s="28"/>
      <c r="C21" s="51" t="s">
        <v>28</v>
      </c>
      <c r="D21" s="52"/>
      <c r="E21" s="142"/>
      <c r="F21" s="52"/>
      <c r="G21" s="52"/>
      <c r="H21" s="30"/>
      <c r="I21" s="54" t="e">
        <f>ROUND(SUM(I11:I20),2)</f>
        <v>#REF!</v>
      </c>
      <c r="J21" s="7"/>
    </row>
    <row r="22" spans="1:10" ht="16.5" thickTop="1">
      <c r="A22" s="16">
        <v>2</v>
      </c>
      <c r="B22" s="72" t="s">
        <v>25</v>
      </c>
      <c r="C22" s="48" t="s">
        <v>29</v>
      </c>
      <c r="E22" s="98"/>
      <c r="H22" s="11"/>
      <c r="I22" s="50">
        <f t="shared" ref="I22:I33" si="4">ROUND(H22*E22,2)</f>
        <v>0</v>
      </c>
      <c r="J22" s="7"/>
    </row>
    <row r="23" spans="1:10">
      <c r="A23" s="16"/>
      <c r="B23" s="4">
        <v>100</v>
      </c>
      <c r="C23" s="40" t="e">
        <f t="shared" ref="C23:C33" si="5">IF(ISNA(VLOOKUP(B23,CU_MANO_DE_OBRA,2,FALSE)),0,VLOOKUP(B23,CU_MANO_DE_OBRA,2,FALSE))</f>
        <v>#REF!</v>
      </c>
      <c r="D23" s="49" t="e">
        <f t="shared" ref="D23:D33" si="6">IF(ISNA(VLOOKUP(B23,CU_MANO_DE_OBRA,3,FALSE)),0,VLOOKUP(B23,CU_MANO_DE_OBRA,3,FALSE))</f>
        <v>#REF!</v>
      </c>
      <c r="E23" s="98">
        <v>1.4</v>
      </c>
      <c r="F23" s="49"/>
      <c r="G23" s="49"/>
      <c r="H23" s="36" t="e">
        <f t="shared" ref="H23:H33" si="7">IF(ISNA(VLOOKUP(B23,CU_MANO_DE_OBRA,3,FALSE)),0,VLOOKUP(B23,CU_MANO_DE_OBRA,4,FALSE))</f>
        <v>#REF!</v>
      </c>
      <c r="I23" s="50" t="e">
        <f t="shared" si="4"/>
        <v>#REF!</v>
      </c>
      <c r="J23" s="7"/>
    </row>
    <row r="24" spans="1:10">
      <c r="A24" s="16"/>
      <c r="B24" s="4">
        <v>200</v>
      </c>
      <c r="C24" s="40" t="e">
        <f t="shared" si="5"/>
        <v>#REF!</v>
      </c>
      <c r="D24" s="49" t="e">
        <f t="shared" si="6"/>
        <v>#REF!</v>
      </c>
      <c r="E24" s="98">
        <v>1.4</v>
      </c>
      <c r="F24" s="49"/>
      <c r="G24" s="49"/>
      <c r="H24" s="36" t="e">
        <f t="shared" si="7"/>
        <v>#REF!</v>
      </c>
      <c r="I24" s="50" t="e">
        <f t="shared" si="4"/>
        <v>#REF!</v>
      </c>
      <c r="J24" s="7"/>
    </row>
    <row r="25" spans="1:10">
      <c r="A25" s="16"/>
      <c r="B25" s="4">
        <v>4900</v>
      </c>
      <c r="C25" s="40" t="e">
        <f t="shared" si="5"/>
        <v>#REF!</v>
      </c>
      <c r="D25" s="49" t="e">
        <f t="shared" si="6"/>
        <v>#REF!</v>
      </c>
      <c r="E25" s="98">
        <v>1.4</v>
      </c>
      <c r="F25" s="49"/>
      <c r="G25" s="49"/>
      <c r="H25" s="36" t="e">
        <f t="shared" si="7"/>
        <v>#REF!</v>
      </c>
      <c r="I25" s="50" t="e">
        <f t="shared" si="4"/>
        <v>#REF!</v>
      </c>
      <c r="J25" s="7"/>
    </row>
    <row r="26" spans="1:10">
      <c r="A26" s="16"/>
      <c r="B26" s="4">
        <v>5000</v>
      </c>
      <c r="C26" s="40" t="e">
        <f t="shared" si="5"/>
        <v>#REF!</v>
      </c>
      <c r="D26" s="49" t="e">
        <f t="shared" si="6"/>
        <v>#REF!</v>
      </c>
      <c r="E26" s="98">
        <v>1.4</v>
      </c>
      <c r="F26" s="49"/>
      <c r="G26" s="49"/>
      <c r="H26" s="36" t="e">
        <f t="shared" si="7"/>
        <v>#REF!</v>
      </c>
      <c r="I26" s="50" t="e">
        <f t="shared" si="4"/>
        <v>#REF!</v>
      </c>
      <c r="J26" s="7"/>
    </row>
    <row r="27" spans="1:10">
      <c r="A27" s="16"/>
      <c r="C27" s="40" t="e">
        <f t="shared" si="5"/>
        <v>#REF!</v>
      </c>
      <c r="D27" s="49" t="e">
        <f t="shared" si="6"/>
        <v>#REF!</v>
      </c>
      <c r="E27" s="98"/>
      <c r="F27" s="49"/>
      <c r="G27" s="49"/>
      <c r="H27" s="37" t="e">
        <f t="shared" si="7"/>
        <v>#REF!</v>
      </c>
      <c r="I27" s="50" t="e">
        <f t="shared" si="4"/>
        <v>#REF!</v>
      </c>
      <c r="J27" s="7"/>
    </row>
    <row r="28" spans="1:10">
      <c r="A28" s="16"/>
      <c r="C28" s="40" t="e">
        <f t="shared" si="5"/>
        <v>#REF!</v>
      </c>
      <c r="D28" s="49" t="e">
        <f t="shared" si="6"/>
        <v>#REF!</v>
      </c>
      <c r="E28" s="98"/>
      <c r="F28" s="49"/>
      <c r="G28" s="49"/>
      <c r="H28" s="37" t="e">
        <f t="shared" si="7"/>
        <v>#REF!</v>
      </c>
      <c r="I28" s="50" t="e">
        <f t="shared" si="4"/>
        <v>#REF!</v>
      </c>
      <c r="J28" s="7"/>
    </row>
    <row r="29" spans="1:10">
      <c r="A29" s="16"/>
      <c r="C29" s="40" t="e">
        <f t="shared" si="5"/>
        <v>#REF!</v>
      </c>
      <c r="D29" s="49" t="e">
        <f t="shared" si="6"/>
        <v>#REF!</v>
      </c>
      <c r="E29" s="98"/>
      <c r="F29" s="49"/>
      <c r="G29" s="49"/>
      <c r="H29" s="37" t="e">
        <f t="shared" si="7"/>
        <v>#REF!</v>
      </c>
      <c r="I29" s="50" t="e">
        <f t="shared" si="4"/>
        <v>#REF!</v>
      </c>
      <c r="J29" s="7"/>
    </row>
    <row r="30" spans="1:10">
      <c r="A30" s="16"/>
      <c r="C30" s="40" t="e">
        <f t="shared" si="5"/>
        <v>#REF!</v>
      </c>
      <c r="D30" s="49" t="e">
        <f t="shared" si="6"/>
        <v>#REF!</v>
      </c>
      <c r="E30" s="98"/>
      <c r="F30" s="49"/>
      <c r="G30" s="49"/>
      <c r="H30" s="37" t="e">
        <f t="shared" si="7"/>
        <v>#REF!</v>
      </c>
      <c r="I30" s="50" t="e">
        <f t="shared" si="4"/>
        <v>#REF!</v>
      </c>
      <c r="J30" s="7"/>
    </row>
    <row r="31" spans="1:10">
      <c r="A31" s="16"/>
      <c r="C31" s="40" t="e">
        <f t="shared" si="5"/>
        <v>#REF!</v>
      </c>
      <c r="D31" s="49" t="e">
        <f t="shared" si="6"/>
        <v>#REF!</v>
      </c>
      <c r="E31" s="98"/>
      <c r="F31" s="49"/>
      <c r="G31" s="49"/>
      <c r="H31" s="37" t="e">
        <f t="shared" si="7"/>
        <v>#REF!</v>
      </c>
      <c r="I31" s="50" t="e">
        <f t="shared" si="4"/>
        <v>#REF!</v>
      </c>
      <c r="J31" s="7"/>
    </row>
    <row r="32" spans="1:10">
      <c r="A32" s="16"/>
      <c r="C32" s="40" t="e">
        <f t="shared" si="5"/>
        <v>#REF!</v>
      </c>
      <c r="D32" s="49" t="e">
        <f t="shared" si="6"/>
        <v>#REF!</v>
      </c>
      <c r="E32" s="98"/>
      <c r="F32" s="49"/>
      <c r="G32" s="49"/>
      <c r="H32" s="37" t="e">
        <f t="shared" si="7"/>
        <v>#REF!</v>
      </c>
      <c r="I32" s="50" t="e">
        <f t="shared" si="4"/>
        <v>#REF!</v>
      </c>
      <c r="J32" s="7"/>
    </row>
    <row r="33" spans="1:10">
      <c r="A33" s="16"/>
      <c r="B33" s="26">
        <v>300</v>
      </c>
      <c r="C33" s="55" t="e">
        <f t="shared" si="5"/>
        <v>#REF!</v>
      </c>
      <c r="D33" s="56" t="e">
        <f t="shared" si="6"/>
        <v>#REF!</v>
      </c>
      <c r="E33" s="143" t="e">
        <f>SUM(I23:I32)</f>
        <v>#REF!</v>
      </c>
      <c r="F33" s="56"/>
      <c r="G33" s="56"/>
      <c r="H33" s="76" t="e">
        <f t="shared" si="7"/>
        <v>#REF!</v>
      </c>
      <c r="I33" s="50" t="e">
        <f t="shared" si="4"/>
        <v>#REF!</v>
      </c>
      <c r="J33" s="7"/>
    </row>
    <row r="34" spans="1:10" ht="16.5" thickBot="1">
      <c r="A34" s="138"/>
      <c r="B34" s="28"/>
      <c r="C34" s="51" t="s">
        <v>30</v>
      </c>
      <c r="D34" s="52"/>
      <c r="E34" s="142"/>
      <c r="F34" s="52"/>
      <c r="G34" s="52"/>
      <c r="H34" s="30"/>
      <c r="I34" s="54" t="e">
        <f>ROUND(SUM(I23:I33),2)</f>
        <v>#REF!</v>
      </c>
      <c r="J34" s="7"/>
    </row>
    <row r="35" spans="1:10" ht="16.5" thickTop="1">
      <c r="A35" s="16">
        <v>3</v>
      </c>
      <c r="B35" s="72" t="s">
        <v>25</v>
      </c>
      <c r="C35" s="48" t="s">
        <v>31</v>
      </c>
      <c r="E35" s="98"/>
      <c r="H35" s="11"/>
      <c r="I35" s="50">
        <f t="shared" ref="I35:I46" si="8">ROUND(H35*E35,2)</f>
        <v>0</v>
      </c>
      <c r="J35" s="7"/>
    </row>
    <row r="36" spans="1:10">
      <c r="B36" s="4">
        <v>3000</v>
      </c>
      <c r="C36" s="125" t="e">
        <f t="shared" ref="C36:C46" si="9">IF(ISNA(VLOOKUP(B36,CU_EQUIPO,2,FALSE)),0,VLOOKUP(B36,CU_EQUIPO,2,FALSE))</f>
        <v>#REF!</v>
      </c>
      <c r="D36" s="126" t="e">
        <f t="shared" ref="D36:D46" si="10">IF(ISNA(VLOOKUP(B36,CU_EQUIPO,3,FALSE)),0,VLOOKUP(B36,CU_EQUIPO,3,FALSE))</f>
        <v>#REF!</v>
      </c>
      <c r="E36" s="132">
        <f>ROUND(((42*2.54/100+0.8)*(42*2.54/100+0.1+1.5))/50+(17/60/2),4)</f>
        <v>0.2412</v>
      </c>
      <c r="F36" s="126"/>
      <c r="G36" s="126"/>
      <c r="H36" s="128" t="e">
        <f t="shared" ref="H36:H46" si="11">IF(ISNA(VLOOKUP(B36,CU_EQUIPO,3,FALSE)),0,VLOOKUP(B36,CU_EQUIPO,4,FALSE))</f>
        <v>#REF!</v>
      </c>
      <c r="I36" s="129" t="e">
        <f t="shared" si="8"/>
        <v>#REF!</v>
      </c>
      <c r="J36" s="7"/>
    </row>
    <row r="37" spans="1:10">
      <c r="B37" s="4">
        <v>7000</v>
      </c>
      <c r="C37" s="40" t="e">
        <f t="shared" si="9"/>
        <v>#REF!</v>
      </c>
      <c r="D37" s="49" t="e">
        <f t="shared" si="10"/>
        <v>#REF!</v>
      </c>
      <c r="E37" s="98">
        <v>0.2</v>
      </c>
      <c r="F37" s="49"/>
      <c r="G37" s="49"/>
      <c r="H37" s="19" t="e">
        <f t="shared" si="11"/>
        <v>#REF!</v>
      </c>
      <c r="I37" s="50" t="e">
        <f t="shared" si="8"/>
        <v>#REF!</v>
      </c>
      <c r="J37" s="7"/>
    </row>
    <row r="38" spans="1:10">
      <c r="B38" s="4">
        <v>6000</v>
      </c>
      <c r="C38" s="40" t="e">
        <f t="shared" si="9"/>
        <v>#REF!</v>
      </c>
      <c r="D38" s="49" t="e">
        <f t="shared" si="10"/>
        <v>#REF!</v>
      </c>
      <c r="E38" s="98">
        <f>ROUND(2/8,4)</f>
        <v>0.25</v>
      </c>
      <c r="F38" s="49"/>
      <c r="G38" s="49"/>
      <c r="H38" s="19" t="e">
        <f t="shared" si="11"/>
        <v>#REF!</v>
      </c>
      <c r="I38" s="50" t="e">
        <f t="shared" si="8"/>
        <v>#REF!</v>
      </c>
      <c r="J38" s="7"/>
    </row>
    <row r="39" spans="1:10">
      <c r="C39" s="40" t="e">
        <f t="shared" si="9"/>
        <v>#REF!</v>
      </c>
      <c r="D39" s="49" t="e">
        <f t="shared" si="10"/>
        <v>#REF!</v>
      </c>
      <c r="E39" s="73"/>
      <c r="F39" s="49"/>
      <c r="G39" s="49"/>
      <c r="H39" s="11" t="e">
        <f t="shared" si="11"/>
        <v>#REF!</v>
      </c>
      <c r="I39" s="50" t="e">
        <f t="shared" si="8"/>
        <v>#REF!</v>
      </c>
      <c r="J39" s="7"/>
    </row>
    <row r="40" spans="1:10">
      <c r="C40" s="40" t="e">
        <f t="shared" si="9"/>
        <v>#REF!</v>
      </c>
      <c r="D40" s="49" t="e">
        <f t="shared" si="10"/>
        <v>#REF!</v>
      </c>
      <c r="E40" s="73"/>
      <c r="F40" s="49"/>
      <c r="G40" s="49"/>
      <c r="H40" s="11" t="e">
        <f t="shared" si="11"/>
        <v>#REF!</v>
      </c>
      <c r="I40" s="50" t="e">
        <f t="shared" si="8"/>
        <v>#REF!</v>
      </c>
      <c r="J40" s="7"/>
    </row>
    <row r="41" spans="1:10">
      <c r="C41" s="40" t="e">
        <f t="shared" si="9"/>
        <v>#REF!</v>
      </c>
      <c r="D41" s="49" t="e">
        <f t="shared" si="10"/>
        <v>#REF!</v>
      </c>
      <c r="E41" s="73"/>
      <c r="F41" s="49"/>
      <c r="G41" s="49"/>
      <c r="H41" s="11" t="e">
        <f t="shared" si="11"/>
        <v>#REF!</v>
      </c>
      <c r="I41" s="50" t="e">
        <f t="shared" si="8"/>
        <v>#REF!</v>
      </c>
      <c r="J41" s="7"/>
    </row>
    <row r="42" spans="1:10">
      <c r="C42" s="40" t="e">
        <f t="shared" si="9"/>
        <v>#REF!</v>
      </c>
      <c r="D42" s="49" t="e">
        <f t="shared" si="10"/>
        <v>#REF!</v>
      </c>
      <c r="E42" s="73"/>
      <c r="F42" s="49"/>
      <c r="G42" s="49"/>
      <c r="H42" s="11" t="e">
        <f t="shared" si="11"/>
        <v>#REF!</v>
      </c>
      <c r="I42" s="50" t="e">
        <f t="shared" si="8"/>
        <v>#REF!</v>
      </c>
      <c r="J42" s="7"/>
    </row>
    <row r="43" spans="1:10">
      <c r="C43" s="40" t="e">
        <f t="shared" si="9"/>
        <v>#REF!</v>
      </c>
      <c r="D43" s="49" t="e">
        <f t="shared" si="10"/>
        <v>#REF!</v>
      </c>
      <c r="E43" s="73"/>
      <c r="F43" s="49"/>
      <c r="G43" s="49"/>
      <c r="H43" s="11" t="e">
        <f t="shared" si="11"/>
        <v>#REF!</v>
      </c>
      <c r="I43" s="50" t="e">
        <f t="shared" si="8"/>
        <v>#REF!</v>
      </c>
      <c r="J43" s="7"/>
    </row>
    <row r="44" spans="1:10">
      <c r="C44" s="40" t="e">
        <f t="shared" si="9"/>
        <v>#REF!</v>
      </c>
      <c r="D44" s="49" t="e">
        <f t="shared" si="10"/>
        <v>#REF!</v>
      </c>
      <c r="E44" s="73"/>
      <c r="F44" s="49"/>
      <c r="G44" s="49"/>
      <c r="H44" s="11" t="e">
        <f t="shared" si="11"/>
        <v>#REF!</v>
      </c>
      <c r="I44" s="50" t="e">
        <f t="shared" si="8"/>
        <v>#REF!</v>
      </c>
      <c r="J44" s="7"/>
    </row>
    <row r="45" spans="1:10">
      <c r="C45" s="40" t="e">
        <f t="shared" si="9"/>
        <v>#REF!</v>
      </c>
      <c r="D45" s="49" t="e">
        <f t="shared" si="10"/>
        <v>#REF!</v>
      </c>
      <c r="E45" s="73"/>
      <c r="F45" s="49"/>
      <c r="G45" s="49"/>
      <c r="H45" s="11" t="e">
        <f t="shared" si="11"/>
        <v>#REF!</v>
      </c>
      <c r="I45" s="50" t="e">
        <f t="shared" si="8"/>
        <v>#REF!</v>
      </c>
      <c r="J45" s="7"/>
    </row>
    <row r="46" spans="1:10">
      <c r="B46" s="26">
        <v>20000</v>
      </c>
      <c r="C46" s="55" t="e">
        <f t="shared" si="9"/>
        <v>#REF!</v>
      </c>
      <c r="D46" s="56" t="e">
        <f t="shared" si="10"/>
        <v>#REF!</v>
      </c>
      <c r="E46" s="74" t="e">
        <f>E33</f>
        <v>#REF!</v>
      </c>
      <c r="F46" s="56"/>
      <c r="G46" s="56"/>
      <c r="H46" s="76" t="e">
        <f t="shared" si="11"/>
        <v>#REF!</v>
      </c>
      <c r="I46" s="50" t="e">
        <f t="shared" si="8"/>
        <v>#REF!</v>
      </c>
      <c r="J46" s="7"/>
    </row>
    <row r="47" spans="1:10" ht="16.5" thickBot="1">
      <c r="A47" s="28"/>
      <c r="B47" s="28"/>
      <c r="C47" s="51" t="s">
        <v>32</v>
      </c>
      <c r="D47" s="65"/>
      <c r="E47" s="65"/>
      <c r="F47" s="65"/>
      <c r="G47" s="65"/>
      <c r="H47" s="53"/>
      <c r="I47" s="54" t="e">
        <f>ROUND(SUM(I36:I46),2)</f>
        <v>#REF!</v>
      </c>
      <c r="J47" s="7"/>
    </row>
    <row r="48" spans="1:10" ht="16.5" thickTop="1">
      <c r="C48" s="6"/>
      <c r="D48" s="4"/>
      <c r="E48" s="4"/>
      <c r="F48" s="4"/>
      <c r="G48" s="4"/>
      <c r="H48" s="11"/>
      <c r="I48" s="14"/>
      <c r="J48" s="7"/>
    </row>
    <row r="49" spans="1:10">
      <c r="C49" s="17" t="s">
        <v>55</v>
      </c>
      <c r="D49" s="4"/>
      <c r="E49" s="4"/>
      <c r="F49" s="4"/>
      <c r="G49" s="4"/>
      <c r="H49" s="11"/>
      <c r="I49" s="15" t="e">
        <f>I21+I34+I47</f>
        <v>#REF!</v>
      </c>
      <c r="J49" s="7"/>
    </row>
    <row r="50" spans="1:10" ht="16.5" thickBot="1">
      <c r="A50" s="103"/>
      <c r="B50" s="103"/>
      <c r="C50" s="104"/>
      <c r="D50" s="103"/>
      <c r="E50" s="103"/>
      <c r="F50" s="103"/>
      <c r="G50" s="103"/>
      <c r="H50" s="105"/>
      <c r="I50" s="107"/>
      <c r="J50" s="7"/>
    </row>
    <row r="51" spans="1:10" ht="18" customHeight="1" thickTop="1">
      <c r="A51" s="3">
        <v>4</v>
      </c>
      <c r="C51" s="17" t="s">
        <v>50</v>
      </c>
      <c r="D51" s="4"/>
      <c r="E51" s="4"/>
      <c r="F51" s="4"/>
      <c r="G51" s="4"/>
      <c r="H51" s="11"/>
      <c r="I51" s="14"/>
      <c r="J51" s="7"/>
    </row>
    <row r="52" spans="1:10">
      <c r="C52" s="6"/>
      <c r="D52" s="4"/>
      <c r="E52" s="4"/>
      <c r="F52" s="4"/>
      <c r="G52" s="4"/>
      <c r="H52" s="11"/>
      <c r="I52" s="14"/>
      <c r="J52" s="7"/>
    </row>
    <row r="53" spans="1:10">
      <c r="C53" s="6" t="s">
        <v>51</v>
      </c>
      <c r="D53" s="4"/>
      <c r="E53" s="4"/>
      <c r="F53" s="4"/>
      <c r="G53" s="4"/>
      <c r="H53" s="11"/>
      <c r="I53" s="14" t="e">
        <f>ROUND((Presupuesto!E88)*I49,2)</f>
        <v>#REF!</v>
      </c>
      <c r="J53" s="7"/>
    </row>
    <row r="54" spans="1:10">
      <c r="C54" s="6" t="s">
        <v>52</v>
      </c>
      <c r="D54" s="4"/>
      <c r="E54" s="4"/>
      <c r="F54" s="4"/>
      <c r="G54" s="4"/>
      <c r="H54" s="11"/>
      <c r="I54" s="14" t="e">
        <f>ROUND((Presupuesto!E89)*I49,2)</f>
        <v>#REF!</v>
      </c>
      <c r="J54" s="7"/>
    </row>
    <row r="55" spans="1:10" ht="16.5" thickBot="1">
      <c r="A55" s="28"/>
      <c r="B55" s="28"/>
      <c r="C55" s="29" t="s">
        <v>53</v>
      </c>
      <c r="D55" s="28"/>
      <c r="E55" s="28"/>
      <c r="F55" s="28"/>
      <c r="G55" s="28"/>
      <c r="H55" s="30"/>
      <c r="I55" s="108" t="e">
        <f>SUM(I53:I54)</f>
        <v>#REF!</v>
      </c>
    </row>
    <row r="56" spans="1:10" ht="16.5" thickTop="1">
      <c r="A56" s="3">
        <v>5</v>
      </c>
      <c r="C56" s="17" t="s">
        <v>16</v>
      </c>
      <c r="D56" s="4"/>
      <c r="E56" s="4"/>
      <c r="F56" s="4"/>
      <c r="G56" s="4"/>
      <c r="H56" s="11"/>
      <c r="I56" s="14"/>
    </row>
    <row r="57" spans="1:10">
      <c r="C57" s="6"/>
      <c r="D57" s="4"/>
      <c r="E57" s="4"/>
      <c r="F57" s="4"/>
      <c r="G57" s="4"/>
      <c r="H57" s="11"/>
      <c r="I57" s="14"/>
    </row>
    <row r="58" spans="1:10">
      <c r="C58" s="6" t="s">
        <v>59</v>
      </c>
      <c r="D58" s="4"/>
      <c r="E58" s="4"/>
      <c r="F58" s="4"/>
      <c r="G58" s="4"/>
      <c r="H58" s="11"/>
      <c r="I58" s="14" t="e">
        <f>ROUND((Presupuesto!E90)*(I49+I55),2)</f>
        <v>#REF!</v>
      </c>
    </row>
    <row r="59" spans="1:10" ht="16.5" thickBot="1">
      <c r="A59" s="28"/>
      <c r="B59" s="28"/>
      <c r="C59" s="29" t="s">
        <v>54</v>
      </c>
      <c r="D59" s="28"/>
      <c r="E59" s="28"/>
      <c r="F59" s="28"/>
      <c r="G59" s="28"/>
      <c r="H59" s="30"/>
      <c r="I59" s="108" t="e">
        <f>SUM(I58)</f>
        <v>#REF!</v>
      </c>
    </row>
    <row r="60" spans="1:10" ht="16.5" thickTop="1">
      <c r="C60" s="6"/>
      <c r="D60" s="4"/>
      <c r="E60" s="4"/>
      <c r="F60" s="4"/>
      <c r="G60" s="4"/>
      <c r="H60" s="11"/>
      <c r="I60" s="14"/>
    </row>
    <row r="61" spans="1:10">
      <c r="A61" s="8"/>
      <c r="B61" s="8"/>
      <c r="C61" s="109" t="s">
        <v>56</v>
      </c>
      <c r="D61" s="8"/>
      <c r="E61" s="8"/>
      <c r="F61" s="8"/>
      <c r="G61" s="8"/>
      <c r="H61" s="110"/>
      <c r="I61" s="112" t="e">
        <f>+I55+I59</f>
        <v>#REF!</v>
      </c>
    </row>
    <row r="62" spans="1:10" ht="16.5" thickBot="1">
      <c r="A62" s="103"/>
      <c r="B62" s="103"/>
      <c r="C62" s="104"/>
      <c r="D62" s="103"/>
      <c r="E62" s="103"/>
      <c r="F62" s="103"/>
      <c r="G62" s="103"/>
      <c r="H62" s="105"/>
      <c r="I62" s="113"/>
    </row>
    <row r="63" spans="1:10" ht="16.5" thickTop="1">
      <c r="A63" s="8"/>
      <c r="B63" s="8"/>
      <c r="C63" s="32"/>
      <c r="D63" s="8"/>
      <c r="E63" s="8"/>
      <c r="F63" s="8"/>
      <c r="G63" s="8"/>
      <c r="H63" s="110"/>
      <c r="I63" s="114"/>
    </row>
    <row r="64" spans="1:10">
      <c r="C64" s="17" t="s">
        <v>57</v>
      </c>
      <c r="D64" s="4"/>
      <c r="E64" s="4"/>
      <c r="F64" s="4"/>
      <c r="G64" s="4"/>
      <c r="H64" s="11"/>
      <c r="I64" s="57" t="e">
        <f>TRUNC(I49+I61,2)</f>
        <v>#REF!</v>
      </c>
    </row>
    <row r="65" spans="1:9" ht="16.5" thickBot="1">
      <c r="A65" s="5"/>
      <c r="B65" s="5"/>
      <c r="C65" s="33"/>
      <c r="D65" s="5"/>
      <c r="E65" s="5"/>
      <c r="F65" s="5"/>
      <c r="G65" s="5"/>
      <c r="H65" s="20"/>
      <c r="I65" s="35"/>
    </row>
  </sheetData>
  <mergeCells count="2">
    <mergeCell ref="C4:H4"/>
    <mergeCell ref="A1:I2"/>
  </mergeCells>
  <phoneticPr fontId="0" type="noConversion"/>
  <printOptions horizontalCentered="1" verticalCentered="1"/>
  <pageMargins left="0.91" right="0.75" top="0.8" bottom="1" header="0" footer="0"/>
  <pageSetup scale="6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24">
    <tabColor theme="1" tint="4.9989318521683403E-2"/>
    <pageSetUpPr fitToPage="1"/>
  </sheetPr>
  <dimension ref="A1:I65"/>
  <sheetViews>
    <sheetView showGridLines="0" showZeros="0" view="pageBreakPreview" zoomScale="60" zoomScaleNormal="75" workbookViewId="0">
      <pane ySplit="9" topLeftCell="A10" activePane="bottomLeft" state="frozen"/>
      <selection activeCell="G65" sqref="G65"/>
      <selection pane="bottomLeft" activeCell="F3" sqref="F1:G1048576"/>
    </sheetView>
  </sheetViews>
  <sheetFormatPr baseColWidth="10" defaultColWidth="9.140625" defaultRowHeight="15.75"/>
  <cols>
    <col min="1" max="1" width="11.140625" style="4" customWidth="1"/>
    <col min="2" max="2" width="10.42578125" style="4" hidden="1" customWidth="1"/>
    <col min="3" max="3" width="44" style="40" customWidth="1"/>
    <col min="4" max="5" width="15.7109375" style="39" customWidth="1"/>
    <col min="6" max="6" width="15.7109375" style="39" hidden="1" customWidth="1"/>
    <col min="7" max="7" width="20.85546875" style="39" hidden="1" customWidth="1"/>
    <col min="8" max="8" width="18.5703125" style="46" customWidth="1"/>
    <col min="9" max="9" width="15.7109375" style="39" customWidth="1"/>
    <col min="10" max="16384" width="9.140625" style="4"/>
  </cols>
  <sheetData>
    <row r="1" spans="1:9">
      <c r="A1" s="329" t="s">
        <v>90</v>
      </c>
      <c r="B1" s="329"/>
      <c r="C1" s="329"/>
      <c r="D1" s="329"/>
      <c r="E1" s="329"/>
      <c r="F1" s="329"/>
      <c r="G1" s="329"/>
      <c r="H1" s="329"/>
      <c r="I1" s="329"/>
    </row>
    <row r="2" spans="1:9" ht="13.5" customHeight="1">
      <c r="A2" s="329"/>
      <c r="B2" s="329"/>
      <c r="C2" s="329"/>
      <c r="D2" s="329"/>
      <c r="E2" s="329"/>
      <c r="F2" s="329"/>
      <c r="G2" s="329"/>
      <c r="H2" s="329"/>
      <c r="I2" s="329"/>
    </row>
    <row r="3" spans="1:9" ht="13.5" customHeight="1">
      <c r="A3" s="24"/>
      <c r="B3" s="22"/>
      <c r="C3" s="38"/>
      <c r="D3" s="38"/>
      <c r="E3" s="38"/>
      <c r="F3" s="38"/>
      <c r="G3" s="38"/>
      <c r="H3" s="38"/>
      <c r="I3" s="38"/>
    </row>
    <row r="4" spans="1:9" ht="13.5" customHeight="1">
      <c r="A4" s="24"/>
      <c r="B4" s="22" t="e">
        <f>#REF!</f>
        <v>#REF!</v>
      </c>
      <c r="C4" s="324" t="e">
        <f>IF(ISNA(VLOOKUP(B4,PROYECTOS!$A$8:$B$55,2,FALSE)),0,VLOOKUP(B4,PROYECTOS!$A$8:$B$55,2,FALSE))</f>
        <v>#REF!</v>
      </c>
      <c r="D4" s="324"/>
      <c r="E4" s="324"/>
      <c r="F4" s="324"/>
      <c r="G4" s="324"/>
      <c r="H4" s="324"/>
      <c r="I4" s="38"/>
    </row>
    <row r="5" spans="1:9" ht="13.5" customHeight="1">
      <c r="A5" s="24"/>
      <c r="B5" s="22"/>
      <c r="C5" s="22">
        <f>IF(ISNA(VLOOKUP(B5,PRESUPUESTOS,2,FALSE)),0,VLOOKUP(B5,PRESUPUESTOS,2,FALSE))</f>
        <v>0</v>
      </c>
      <c r="D5" s="38"/>
      <c r="E5" s="38"/>
      <c r="F5" s="38"/>
      <c r="G5" s="38"/>
      <c r="H5" s="38"/>
      <c r="I5" s="38"/>
    </row>
    <row r="6" spans="1:9" ht="13.5" customHeight="1">
      <c r="A6" s="32" t="s">
        <v>43</v>
      </c>
      <c r="C6" s="8" t="s">
        <v>85</v>
      </c>
      <c r="H6" s="46" t="s">
        <v>44</v>
      </c>
      <c r="I6" s="81" t="s">
        <v>87</v>
      </c>
    </row>
    <row r="7" spans="1:9" ht="16.5" thickBot="1">
      <c r="A7" s="20"/>
      <c r="B7" s="5"/>
      <c r="C7" s="41"/>
      <c r="D7" s="42"/>
      <c r="E7" s="42"/>
      <c r="F7" s="42"/>
      <c r="G7" s="42"/>
      <c r="H7" s="20"/>
      <c r="I7" s="43"/>
    </row>
    <row r="8" spans="1:9">
      <c r="D8" s="44"/>
      <c r="F8" s="133" t="s">
        <v>36</v>
      </c>
      <c r="G8" s="133" t="s">
        <v>26</v>
      </c>
      <c r="H8" s="45" t="s">
        <v>26</v>
      </c>
      <c r="I8" s="46"/>
    </row>
    <row r="9" spans="1:9">
      <c r="A9" s="9" t="s">
        <v>2</v>
      </c>
      <c r="B9" s="9"/>
      <c r="C9" s="9" t="s">
        <v>3</v>
      </c>
      <c r="D9" s="47" t="s">
        <v>4</v>
      </c>
      <c r="E9" s="47" t="s">
        <v>5</v>
      </c>
      <c r="F9" s="9" t="s">
        <v>76</v>
      </c>
      <c r="G9" s="9" t="s">
        <v>77</v>
      </c>
      <c r="H9" s="47" t="s">
        <v>23</v>
      </c>
      <c r="I9" s="47" t="s">
        <v>19</v>
      </c>
    </row>
    <row r="10" spans="1:9">
      <c r="A10" s="16">
        <v>1</v>
      </c>
      <c r="B10" s="72" t="s">
        <v>25</v>
      </c>
      <c r="C10" s="48" t="s">
        <v>9</v>
      </c>
      <c r="E10" s="68"/>
      <c r="H10" s="49"/>
    </row>
    <row r="11" spans="1:9">
      <c r="B11" s="70"/>
      <c r="C11" s="40" t="e">
        <f t="shared" ref="C11:C20" si="0">IF(ISNA(VLOOKUP(B11,CU_MATERIALES,2,FALSE)),0,VLOOKUP(B11,CU_MATERIALES,2,FALSE))</f>
        <v>#REF!</v>
      </c>
      <c r="D11" s="49" t="e">
        <f t="shared" ref="D11:D20" si="1">IF(ISNA(VLOOKUP(B11,CU_MATERIALES,3,FALSE)),0,VLOOKUP(B11,CU_MATERIALES,3,FALSE))</f>
        <v>#REF!</v>
      </c>
      <c r="E11" s="73"/>
      <c r="F11" s="49"/>
      <c r="G11" s="49"/>
      <c r="H11" s="11" t="e">
        <f t="shared" ref="H11:H20" si="2">IF(ISNA(VLOOKUP(B11,CU_MATERIALES,3,FALSE)),0,VLOOKUP(B11,CU_MATERIALES,4,FALSE))</f>
        <v>#REF!</v>
      </c>
      <c r="I11" s="50" t="e">
        <f t="shared" ref="I11:I20" si="3">ROUND(H11*E11,2)</f>
        <v>#REF!</v>
      </c>
    </row>
    <row r="12" spans="1:9">
      <c r="B12" s="70"/>
      <c r="C12" s="40" t="e">
        <f t="shared" si="0"/>
        <v>#REF!</v>
      </c>
      <c r="D12" s="49" t="e">
        <f t="shared" si="1"/>
        <v>#REF!</v>
      </c>
      <c r="E12" s="73"/>
      <c r="F12" s="49"/>
      <c r="G12" s="49"/>
      <c r="H12" s="11" t="e">
        <f t="shared" si="2"/>
        <v>#REF!</v>
      </c>
      <c r="I12" s="50" t="e">
        <f t="shared" si="3"/>
        <v>#REF!</v>
      </c>
    </row>
    <row r="13" spans="1:9">
      <c r="B13" s="70"/>
      <c r="C13" s="40" t="e">
        <f t="shared" si="0"/>
        <v>#REF!</v>
      </c>
      <c r="D13" s="49" t="e">
        <f t="shared" si="1"/>
        <v>#REF!</v>
      </c>
      <c r="E13" s="73"/>
      <c r="F13" s="49"/>
      <c r="G13" s="49"/>
      <c r="H13" s="11" t="e">
        <f t="shared" si="2"/>
        <v>#REF!</v>
      </c>
      <c r="I13" s="50" t="e">
        <f t="shared" si="3"/>
        <v>#REF!</v>
      </c>
    </row>
    <row r="14" spans="1:9">
      <c r="B14" s="70"/>
      <c r="C14" s="40" t="e">
        <f t="shared" si="0"/>
        <v>#REF!</v>
      </c>
      <c r="D14" s="49" t="e">
        <f t="shared" si="1"/>
        <v>#REF!</v>
      </c>
      <c r="E14" s="73"/>
      <c r="F14" s="49"/>
      <c r="G14" s="49"/>
      <c r="H14" s="11" t="e">
        <f t="shared" si="2"/>
        <v>#REF!</v>
      </c>
      <c r="I14" s="50" t="e">
        <f t="shared" si="3"/>
        <v>#REF!</v>
      </c>
    </row>
    <row r="15" spans="1:9">
      <c r="B15" s="70"/>
      <c r="C15" s="40" t="e">
        <f t="shared" si="0"/>
        <v>#REF!</v>
      </c>
      <c r="D15" s="49" t="e">
        <f t="shared" si="1"/>
        <v>#REF!</v>
      </c>
      <c r="E15" s="73"/>
      <c r="F15" s="49"/>
      <c r="G15" s="49"/>
      <c r="H15" s="11" t="e">
        <f t="shared" si="2"/>
        <v>#REF!</v>
      </c>
      <c r="I15" s="50" t="e">
        <f t="shared" si="3"/>
        <v>#REF!</v>
      </c>
    </row>
    <row r="16" spans="1:9">
      <c r="B16" s="70"/>
      <c r="C16" s="40" t="e">
        <f t="shared" si="0"/>
        <v>#REF!</v>
      </c>
      <c r="D16" s="49" t="e">
        <f t="shared" si="1"/>
        <v>#REF!</v>
      </c>
      <c r="E16" s="73"/>
      <c r="F16" s="49"/>
      <c r="G16" s="49"/>
      <c r="H16" s="11" t="e">
        <f t="shared" si="2"/>
        <v>#REF!</v>
      </c>
      <c r="I16" s="50" t="e">
        <f t="shared" si="3"/>
        <v>#REF!</v>
      </c>
    </row>
    <row r="17" spans="1:9">
      <c r="B17" s="70"/>
      <c r="C17" s="40" t="e">
        <f t="shared" si="0"/>
        <v>#REF!</v>
      </c>
      <c r="D17" s="49" t="e">
        <f t="shared" si="1"/>
        <v>#REF!</v>
      </c>
      <c r="E17" s="73"/>
      <c r="F17" s="49"/>
      <c r="G17" s="49"/>
      <c r="H17" s="11" t="e">
        <f t="shared" si="2"/>
        <v>#REF!</v>
      </c>
      <c r="I17" s="50" t="e">
        <f t="shared" si="3"/>
        <v>#REF!</v>
      </c>
    </row>
    <row r="18" spans="1:9">
      <c r="B18" s="70"/>
      <c r="C18" s="40" t="e">
        <f t="shared" si="0"/>
        <v>#REF!</v>
      </c>
      <c r="D18" s="49" t="e">
        <f t="shared" si="1"/>
        <v>#REF!</v>
      </c>
      <c r="E18" s="73"/>
      <c r="F18" s="49"/>
      <c r="G18" s="49"/>
      <c r="H18" s="11" t="e">
        <f t="shared" si="2"/>
        <v>#REF!</v>
      </c>
      <c r="I18" s="50" t="e">
        <f t="shared" si="3"/>
        <v>#REF!</v>
      </c>
    </row>
    <row r="19" spans="1:9">
      <c r="B19" s="70"/>
      <c r="C19" s="40" t="e">
        <f t="shared" si="0"/>
        <v>#REF!</v>
      </c>
      <c r="D19" s="49" t="e">
        <f t="shared" si="1"/>
        <v>#REF!</v>
      </c>
      <c r="E19" s="73"/>
      <c r="F19" s="49"/>
      <c r="G19" s="49"/>
      <c r="H19" s="11" t="e">
        <f t="shared" si="2"/>
        <v>#REF!</v>
      </c>
      <c r="I19" s="50" t="e">
        <f t="shared" si="3"/>
        <v>#REF!</v>
      </c>
    </row>
    <row r="20" spans="1:9">
      <c r="B20" s="70"/>
      <c r="C20" s="40" t="e">
        <f t="shared" si="0"/>
        <v>#REF!</v>
      </c>
      <c r="D20" s="49" t="e">
        <f t="shared" si="1"/>
        <v>#REF!</v>
      </c>
      <c r="E20" s="73"/>
      <c r="F20" s="49"/>
      <c r="G20" s="49"/>
      <c r="H20" s="11" t="e">
        <f t="shared" si="2"/>
        <v>#REF!</v>
      </c>
      <c r="I20" s="50" t="e">
        <f t="shared" si="3"/>
        <v>#REF!</v>
      </c>
    </row>
    <row r="21" spans="1:9" ht="16.5" thickBot="1">
      <c r="A21" s="28"/>
      <c r="B21" s="28"/>
      <c r="C21" s="51" t="s">
        <v>28</v>
      </c>
      <c r="D21" s="52"/>
      <c r="E21" s="75"/>
      <c r="F21" s="52"/>
      <c r="G21" s="52"/>
      <c r="H21" s="30"/>
      <c r="I21" s="54" t="e">
        <f>ROUND(SUM(I11:I20),2)</f>
        <v>#REF!</v>
      </c>
    </row>
    <row r="22" spans="1:9" ht="16.5" thickTop="1">
      <c r="A22" s="16">
        <v>2</v>
      </c>
      <c r="B22" s="72" t="s">
        <v>25</v>
      </c>
      <c r="C22" s="48" t="s">
        <v>29</v>
      </c>
      <c r="E22" s="73"/>
      <c r="H22" s="11"/>
      <c r="I22" s="50"/>
    </row>
    <row r="23" spans="1:9">
      <c r="C23" s="40" t="e">
        <f t="shared" ref="C23:C33" si="4">IF(ISNA(VLOOKUP(B23,CU_MANO_DE_OBRA,2,FALSE)),0,VLOOKUP(B23,CU_MANO_DE_OBRA,2,FALSE))</f>
        <v>#REF!</v>
      </c>
      <c r="D23" s="49" t="e">
        <f t="shared" ref="D23:D33" si="5">IF(ISNA(VLOOKUP(B23,CU_MANO_DE_OBRA,3,FALSE)),0,VLOOKUP(B23,CU_MANO_DE_OBRA,3,FALSE))</f>
        <v>#REF!</v>
      </c>
      <c r="E23" s="73"/>
      <c r="F23" s="49"/>
      <c r="G23" s="49"/>
      <c r="H23" s="11" t="e">
        <f t="shared" ref="H23:H33" si="6">IF(ISNA(VLOOKUP(B23,CU_MANO_DE_OBRA,3,FALSE)),0,VLOOKUP(B23,CU_MANO_DE_OBRA,4,FALSE))</f>
        <v>#REF!</v>
      </c>
      <c r="I23" s="50" t="e">
        <f t="shared" ref="I23:I33" si="7">ROUND(H23*E23,2)</f>
        <v>#REF!</v>
      </c>
    </row>
    <row r="24" spans="1:9">
      <c r="C24" s="40" t="e">
        <f t="shared" si="4"/>
        <v>#REF!</v>
      </c>
      <c r="D24" s="49" t="e">
        <f t="shared" si="5"/>
        <v>#REF!</v>
      </c>
      <c r="E24" s="73"/>
      <c r="F24" s="49"/>
      <c r="G24" s="49"/>
      <c r="H24" s="37" t="e">
        <f t="shared" si="6"/>
        <v>#REF!</v>
      </c>
      <c r="I24" s="50" t="e">
        <f t="shared" si="7"/>
        <v>#REF!</v>
      </c>
    </row>
    <row r="25" spans="1:9">
      <c r="C25" s="40" t="e">
        <f t="shared" si="4"/>
        <v>#REF!</v>
      </c>
      <c r="D25" s="49" t="e">
        <f t="shared" si="5"/>
        <v>#REF!</v>
      </c>
      <c r="E25" s="73"/>
      <c r="F25" s="49"/>
      <c r="G25" s="49"/>
      <c r="H25" s="37" t="e">
        <f t="shared" si="6"/>
        <v>#REF!</v>
      </c>
      <c r="I25" s="50" t="e">
        <f t="shared" si="7"/>
        <v>#REF!</v>
      </c>
    </row>
    <row r="26" spans="1:9">
      <c r="C26" s="40" t="e">
        <f t="shared" si="4"/>
        <v>#REF!</v>
      </c>
      <c r="D26" s="49" t="e">
        <f t="shared" si="5"/>
        <v>#REF!</v>
      </c>
      <c r="E26" s="73"/>
      <c r="F26" s="49"/>
      <c r="G26" s="49"/>
      <c r="H26" s="37" t="e">
        <f t="shared" si="6"/>
        <v>#REF!</v>
      </c>
      <c r="I26" s="50" t="e">
        <f t="shared" si="7"/>
        <v>#REF!</v>
      </c>
    </row>
    <row r="27" spans="1:9">
      <c r="C27" s="40" t="e">
        <f t="shared" si="4"/>
        <v>#REF!</v>
      </c>
      <c r="D27" s="49" t="e">
        <f t="shared" si="5"/>
        <v>#REF!</v>
      </c>
      <c r="E27" s="73"/>
      <c r="F27" s="49"/>
      <c r="G27" s="49"/>
      <c r="H27" s="37" t="e">
        <f t="shared" si="6"/>
        <v>#REF!</v>
      </c>
      <c r="I27" s="50" t="e">
        <f t="shared" si="7"/>
        <v>#REF!</v>
      </c>
    </row>
    <row r="28" spans="1:9">
      <c r="C28" s="40" t="e">
        <f t="shared" si="4"/>
        <v>#REF!</v>
      </c>
      <c r="D28" s="49" t="e">
        <f t="shared" si="5"/>
        <v>#REF!</v>
      </c>
      <c r="E28" s="73"/>
      <c r="F28" s="49"/>
      <c r="G28" s="49"/>
      <c r="H28" s="37" t="e">
        <f t="shared" si="6"/>
        <v>#REF!</v>
      </c>
      <c r="I28" s="50" t="e">
        <f t="shared" si="7"/>
        <v>#REF!</v>
      </c>
    </row>
    <row r="29" spans="1:9">
      <c r="C29" s="40" t="e">
        <f t="shared" si="4"/>
        <v>#REF!</v>
      </c>
      <c r="D29" s="49" t="e">
        <f t="shared" si="5"/>
        <v>#REF!</v>
      </c>
      <c r="E29" s="73"/>
      <c r="F29" s="49"/>
      <c r="G29" s="49"/>
      <c r="H29" s="37" t="e">
        <f t="shared" si="6"/>
        <v>#REF!</v>
      </c>
      <c r="I29" s="50" t="e">
        <f t="shared" si="7"/>
        <v>#REF!</v>
      </c>
    </row>
    <row r="30" spans="1:9">
      <c r="C30" s="40" t="e">
        <f t="shared" si="4"/>
        <v>#REF!</v>
      </c>
      <c r="D30" s="49" t="e">
        <f t="shared" si="5"/>
        <v>#REF!</v>
      </c>
      <c r="E30" s="73"/>
      <c r="F30" s="49"/>
      <c r="G30" s="49"/>
      <c r="H30" s="37" t="e">
        <f t="shared" si="6"/>
        <v>#REF!</v>
      </c>
      <c r="I30" s="50" t="e">
        <f t="shared" si="7"/>
        <v>#REF!</v>
      </c>
    </row>
    <row r="31" spans="1:9">
      <c r="C31" s="40" t="e">
        <f t="shared" si="4"/>
        <v>#REF!</v>
      </c>
      <c r="D31" s="49" t="e">
        <f t="shared" si="5"/>
        <v>#REF!</v>
      </c>
      <c r="E31" s="73"/>
      <c r="F31" s="49"/>
      <c r="G31" s="49"/>
      <c r="H31" s="37" t="e">
        <f t="shared" si="6"/>
        <v>#REF!</v>
      </c>
      <c r="I31" s="50" t="e">
        <f t="shared" si="7"/>
        <v>#REF!</v>
      </c>
    </row>
    <row r="32" spans="1:9">
      <c r="C32" s="40" t="e">
        <f t="shared" si="4"/>
        <v>#REF!</v>
      </c>
      <c r="D32" s="49" t="e">
        <f t="shared" si="5"/>
        <v>#REF!</v>
      </c>
      <c r="E32" s="73"/>
      <c r="F32" s="49"/>
      <c r="G32" s="49"/>
      <c r="H32" s="37" t="e">
        <f t="shared" si="6"/>
        <v>#REF!</v>
      </c>
      <c r="I32" s="50" t="e">
        <f t="shared" si="7"/>
        <v>#REF!</v>
      </c>
    </row>
    <row r="33" spans="1:9">
      <c r="B33" s="26"/>
      <c r="C33" s="55" t="e">
        <f t="shared" si="4"/>
        <v>#REF!</v>
      </c>
      <c r="D33" s="56" t="e">
        <f t="shared" si="5"/>
        <v>#REF!</v>
      </c>
      <c r="E33" s="74"/>
      <c r="F33" s="56"/>
      <c r="G33" s="56"/>
      <c r="H33" s="27" t="e">
        <f t="shared" si="6"/>
        <v>#REF!</v>
      </c>
      <c r="I33" s="50" t="e">
        <f t="shared" si="7"/>
        <v>#REF!</v>
      </c>
    </row>
    <row r="34" spans="1:9" ht="16.5" thickBot="1">
      <c r="A34" s="28"/>
      <c r="B34" s="28"/>
      <c r="C34" s="51" t="s">
        <v>30</v>
      </c>
      <c r="D34" s="52"/>
      <c r="E34" s="75"/>
      <c r="F34" s="52"/>
      <c r="G34" s="52"/>
      <c r="H34" s="30"/>
      <c r="I34" s="54" t="e">
        <f>ROUND(SUM(I23:I33),2)</f>
        <v>#REF!</v>
      </c>
    </row>
    <row r="35" spans="1:9" ht="16.5" thickTop="1">
      <c r="A35" s="16">
        <v>3</v>
      </c>
      <c r="B35" s="72" t="s">
        <v>25</v>
      </c>
      <c r="C35" s="48" t="s">
        <v>31</v>
      </c>
      <c r="E35" s="73"/>
      <c r="H35" s="11"/>
      <c r="I35" s="50"/>
    </row>
    <row r="36" spans="1:9">
      <c r="B36" s="4">
        <v>11200</v>
      </c>
      <c r="C36" s="40" t="e">
        <f t="shared" ref="C36:C46" si="8">IF(ISNA(VLOOKUP(B36,CU_EQUIPO,2,FALSE)),0,VLOOKUP(B36,CU_EQUIPO,2,FALSE))</f>
        <v>#REF!</v>
      </c>
      <c r="D36" s="49" t="e">
        <f t="shared" ref="D36:D46" si="9">IF(ISNA(VLOOKUP(B36,CU_EQUIPO,3,FALSE)),0,VLOOKUP(B36,CU_EQUIPO,3,FALSE))</f>
        <v>#REF!</v>
      </c>
      <c r="E36" s="131">
        <f>ROUND(1/(10*13*2),6)</f>
        <v>3.846E-3</v>
      </c>
      <c r="F36" s="49"/>
      <c r="G36" s="49"/>
      <c r="H36" s="11" t="e">
        <f t="shared" ref="H36:H46" si="10">IF(ISNA(VLOOKUP(B36,CU_EQUIPO,3,FALSE)),0,VLOOKUP(B36,CU_EQUIPO,4,FALSE))</f>
        <v>#REF!</v>
      </c>
      <c r="I36" s="50" t="e">
        <f t="shared" ref="I36:I46" si="11">ROUND(H36*E36,2)</f>
        <v>#REF!</v>
      </c>
    </row>
    <row r="37" spans="1:9">
      <c r="C37" s="40" t="e">
        <f t="shared" si="8"/>
        <v>#REF!</v>
      </c>
      <c r="D37" s="49" t="e">
        <f t="shared" si="9"/>
        <v>#REF!</v>
      </c>
      <c r="E37" s="73"/>
      <c r="F37" s="49"/>
      <c r="G37" s="49"/>
      <c r="H37" s="19" t="e">
        <f t="shared" si="10"/>
        <v>#REF!</v>
      </c>
      <c r="I37" s="50" t="e">
        <f t="shared" si="11"/>
        <v>#REF!</v>
      </c>
    </row>
    <row r="38" spans="1:9">
      <c r="C38" s="40" t="e">
        <f t="shared" si="8"/>
        <v>#REF!</v>
      </c>
      <c r="D38" s="49" t="e">
        <f t="shared" si="9"/>
        <v>#REF!</v>
      </c>
      <c r="E38" s="73"/>
      <c r="F38" s="49"/>
      <c r="G38" s="49"/>
      <c r="H38" s="19" t="e">
        <f t="shared" si="10"/>
        <v>#REF!</v>
      </c>
      <c r="I38" s="50" t="e">
        <f t="shared" si="11"/>
        <v>#REF!</v>
      </c>
    </row>
    <row r="39" spans="1:9">
      <c r="C39" s="40" t="e">
        <f t="shared" si="8"/>
        <v>#REF!</v>
      </c>
      <c r="D39" s="49" t="e">
        <f t="shared" si="9"/>
        <v>#REF!</v>
      </c>
      <c r="E39" s="73"/>
      <c r="F39" s="49"/>
      <c r="G39" s="49"/>
      <c r="H39" s="11" t="e">
        <f t="shared" si="10"/>
        <v>#REF!</v>
      </c>
      <c r="I39" s="50" t="e">
        <f t="shared" si="11"/>
        <v>#REF!</v>
      </c>
    </row>
    <row r="40" spans="1:9">
      <c r="C40" s="40" t="e">
        <f t="shared" si="8"/>
        <v>#REF!</v>
      </c>
      <c r="D40" s="49" t="e">
        <f t="shared" si="9"/>
        <v>#REF!</v>
      </c>
      <c r="E40" s="73"/>
      <c r="F40" s="49"/>
      <c r="G40" s="49"/>
      <c r="H40" s="11" t="e">
        <f t="shared" si="10"/>
        <v>#REF!</v>
      </c>
      <c r="I40" s="50" t="e">
        <f t="shared" si="11"/>
        <v>#REF!</v>
      </c>
    </row>
    <row r="41" spans="1:9">
      <c r="C41" s="40" t="e">
        <f t="shared" si="8"/>
        <v>#REF!</v>
      </c>
      <c r="D41" s="49" t="e">
        <f t="shared" si="9"/>
        <v>#REF!</v>
      </c>
      <c r="E41" s="73"/>
      <c r="F41" s="49"/>
      <c r="G41" s="49"/>
      <c r="H41" s="11" t="e">
        <f t="shared" si="10"/>
        <v>#REF!</v>
      </c>
      <c r="I41" s="50" t="e">
        <f t="shared" si="11"/>
        <v>#REF!</v>
      </c>
    </row>
    <row r="42" spans="1:9">
      <c r="C42" s="40" t="e">
        <f t="shared" si="8"/>
        <v>#REF!</v>
      </c>
      <c r="D42" s="49" t="e">
        <f t="shared" si="9"/>
        <v>#REF!</v>
      </c>
      <c r="E42" s="73"/>
      <c r="F42" s="49"/>
      <c r="G42" s="49"/>
      <c r="H42" s="11" t="e">
        <f t="shared" si="10"/>
        <v>#REF!</v>
      </c>
      <c r="I42" s="50" t="e">
        <f t="shared" si="11"/>
        <v>#REF!</v>
      </c>
    </row>
    <row r="43" spans="1:9">
      <c r="C43" s="40" t="e">
        <f t="shared" si="8"/>
        <v>#REF!</v>
      </c>
      <c r="D43" s="49" t="e">
        <f t="shared" si="9"/>
        <v>#REF!</v>
      </c>
      <c r="E43" s="73"/>
      <c r="F43" s="49"/>
      <c r="G43" s="49"/>
      <c r="H43" s="11" t="e">
        <f t="shared" si="10"/>
        <v>#REF!</v>
      </c>
      <c r="I43" s="50" t="e">
        <f t="shared" si="11"/>
        <v>#REF!</v>
      </c>
    </row>
    <row r="44" spans="1:9">
      <c r="C44" s="40" t="e">
        <f t="shared" si="8"/>
        <v>#REF!</v>
      </c>
      <c r="D44" s="49" t="e">
        <f t="shared" si="9"/>
        <v>#REF!</v>
      </c>
      <c r="E44" s="73"/>
      <c r="F44" s="49"/>
      <c r="G44" s="49"/>
      <c r="H44" s="11" t="e">
        <f t="shared" si="10"/>
        <v>#REF!</v>
      </c>
      <c r="I44" s="50" t="e">
        <f t="shared" si="11"/>
        <v>#REF!</v>
      </c>
    </row>
    <row r="45" spans="1:9">
      <c r="C45" s="40" t="e">
        <f t="shared" si="8"/>
        <v>#REF!</v>
      </c>
      <c r="D45" s="49" t="e">
        <f t="shared" si="9"/>
        <v>#REF!</v>
      </c>
      <c r="E45" s="73"/>
      <c r="F45" s="49"/>
      <c r="G45" s="49"/>
      <c r="H45" s="11" t="e">
        <f t="shared" si="10"/>
        <v>#REF!</v>
      </c>
      <c r="I45" s="50" t="e">
        <f t="shared" si="11"/>
        <v>#REF!</v>
      </c>
    </row>
    <row r="46" spans="1:9">
      <c r="B46" s="26"/>
      <c r="C46" s="55" t="e">
        <f t="shared" si="8"/>
        <v>#REF!</v>
      </c>
      <c r="D46" s="56" t="e">
        <f t="shared" si="9"/>
        <v>#REF!</v>
      </c>
      <c r="E46" s="74"/>
      <c r="F46" s="56"/>
      <c r="G46" s="56"/>
      <c r="H46" s="27" t="e">
        <f t="shared" si="10"/>
        <v>#REF!</v>
      </c>
      <c r="I46" s="50" t="e">
        <f t="shared" si="11"/>
        <v>#REF!</v>
      </c>
    </row>
    <row r="47" spans="1:9" ht="16.5" thickBot="1">
      <c r="A47" s="28"/>
      <c r="B47" s="28"/>
      <c r="C47" s="51" t="s">
        <v>32</v>
      </c>
      <c r="D47" s="52"/>
      <c r="E47" s="52"/>
      <c r="F47" s="52"/>
      <c r="G47" s="52"/>
      <c r="H47" s="53"/>
      <c r="I47" s="54" t="e">
        <f>ROUND(SUM(I36:I46),2)</f>
        <v>#REF!</v>
      </c>
    </row>
    <row r="48" spans="1:9" ht="16.5" thickTop="1">
      <c r="C48" s="6"/>
      <c r="D48" s="4"/>
      <c r="E48" s="4"/>
      <c r="F48" s="4"/>
      <c r="G48" s="4"/>
      <c r="H48" s="11"/>
      <c r="I48" s="14"/>
    </row>
    <row r="49" spans="1:9">
      <c r="C49" s="17" t="s">
        <v>55</v>
      </c>
      <c r="D49" s="4"/>
      <c r="E49" s="4"/>
      <c r="F49" s="4"/>
      <c r="G49" s="4"/>
      <c r="H49" s="11"/>
      <c r="I49" s="15" t="e">
        <f>I21+I34+I47</f>
        <v>#REF!</v>
      </c>
    </row>
    <row r="50" spans="1:9" ht="16.5" thickBot="1">
      <c r="A50" s="103"/>
      <c r="B50" s="103"/>
      <c r="C50" s="104"/>
      <c r="D50" s="103"/>
      <c r="E50" s="103"/>
      <c r="F50" s="103"/>
      <c r="G50" s="103"/>
      <c r="H50" s="105"/>
      <c r="I50" s="107"/>
    </row>
    <row r="51" spans="1:9" ht="18" customHeight="1" thickTop="1">
      <c r="A51" s="121">
        <v>4</v>
      </c>
      <c r="C51" s="17" t="s">
        <v>50</v>
      </c>
      <c r="D51" s="4"/>
      <c r="E51" s="4"/>
      <c r="F51" s="4"/>
      <c r="G51" s="4"/>
      <c r="H51" s="11"/>
      <c r="I51" s="14"/>
    </row>
    <row r="52" spans="1:9">
      <c r="C52" s="6"/>
      <c r="D52" s="4"/>
      <c r="E52" s="4"/>
      <c r="F52" s="4"/>
      <c r="G52" s="4"/>
      <c r="H52" s="11"/>
      <c r="I52" s="14"/>
    </row>
    <row r="53" spans="1:9">
      <c r="C53" s="6" t="s">
        <v>51</v>
      </c>
      <c r="D53" s="4"/>
      <c r="E53" s="4"/>
      <c r="F53" s="4"/>
      <c r="G53" s="4"/>
      <c r="H53" s="11"/>
      <c r="I53" s="14" t="e">
        <f>ROUND((Presupuesto!E88)*I49,2)</f>
        <v>#REF!</v>
      </c>
    </row>
    <row r="54" spans="1:9">
      <c r="C54" s="6" t="s">
        <v>52</v>
      </c>
      <c r="D54" s="4"/>
      <c r="E54" s="4"/>
      <c r="F54" s="4"/>
      <c r="G54" s="4"/>
      <c r="H54" s="11"/>
      <c r="I54" s="14" t="e">
        <f>ROUND((Presupuesto!E89)*I49,2)</f>
        <v>#REF!</v>
      </c>
    </row>
    <row r="55" spans="1:9" ht="16.5" thickBot="1">
      <c r="A55" s="28"/>
      <c r="B55" s="28"/>
      <c r="C55" s="29" t="s">
        <v>53</v>
      </c>
      <c r="D55" s="28"/>
      <c r="E55" s="28"/>
      <c r="F55" s="28"/>
      <c r="G55" s="28"/>
      <c r="H55" s="30"/>
      <c r="I55" s="108" t="e">
        <f>SUM(I53:I54)</f>
        <v>#REF!</v>
      </c>
    </row>
    <row r="56" spans="1:9" ht="16.5" thickTop="1">
      <c r="A56" s="121">
        <v>5</v>
      </c>
      <c r="C56" s="17" t="s">
        <v>16</v>
      </c>
      <c r="D56" s="4"/>
      <c r="E56" s="4"/>
      <c r="F56" s="4"/>
      <c r="G56" s="4"/>
      <c r="H56" s="11"/>
      <c r="I56" s="14"/>
    </row>
    <row r="57" spans="1:9">
      <c r="C57" s="6"/>
      <c r="D57" s="4"/>
      <c r="E57" s="4"/>
      <c r="F57" s="4"/>
      <c r="G57" s="4"/>
      <c r="H57" s="11"/>
      <c r="I57" s="14"/>
    </row>
    <row r="58" spans="1:9">
      <c r="C58" s="6" t="s">
        <v>59</v>
      </c>
      <c r="D58" s="4"/>
      <c r="E58" s="4"/>
      <c r="F58" s="4"/>
      <c r="G58" s="4"/>
      <c r="H58" s="11"/>
      <c r="I58" s="14" t="e">
        <f>ROUND((Presupuesto!E90)*(I49+I55),2)</f>
        <v>#REF!</v>
      </c>
    </row>
    <row r="59" spans="1:9" ht="16.5" thickBot="1">
      <c r="A59" s="28"/>
      <c r="B59" s="28"/>
      <c r="C59" s="29" t="s">
        <v>54</v>
      </c>
      <c r="D59" s="28"/>
      <c r="E59" s="28"/>
      <c r="F59" s="28"/>
      <c r="G59" s="28"/>
      <c r="H59" s="30"/>
      <c r="I59" s="108" t="e">
        <f>SUM(I58)</f>
        <v>#REF!</v>
      </c>
    </row>
    <row r="60" spans="1:9" ht="16.5" thickTop="1">
      <c r="C60" s="6"/>
      <c r="D60" s="4"/>
      <c r="E60" s="4"/>
      <c r="F60" s="4"/>
      <c r="G60" s="4"/>
      <c r="H60" s="11"/>
      <c r="I60" s="14"/>
    </row>
    <row r="61" spans="1:9">
      <c r="A61" s="8"/>
      <c r="B61" s="8"/>
      <c r="C61" s="109" t="s">
        <v>56</v>
      </c>
      <c r="D61" s="8"/>
      <c r="E61" s="8"/>
      <c r="F61" s="8"/>
      <c r="G61" s="8"/>
      <c r="H61" s="110"/>
      <c r="I61" s="112" t="e">
        <f>+I55+I59</f>
        <v>#REF!</v>
      </c>
    </row>
    <row r="62" spans="1:9" ht="16.5" thickBot="1">
      <c r="A62" s="103"/>
      <c r="B62" s="103"/>
      <c r="C62" s="104"/>
      <c r="D62" s="103"/>
      <c r="E62" s="103"/>
      <c r="F62" s="103"/>
      <c r="G62" s="103"/>
      <c r="H62" s="105"/>
      <c r="I62" s="113"/>
    </row>
    <row r="63" spans="1:9" ht="16.5" thickTop="1">
      <c r="A63" s="8"/>
      <c r="B63" s="8"/>
      <c r="C63" s="32"/>
      <c r="D63" s="8"/>
      <c r="E63" s="8"/>
      <c r="F63" s="8"/>
      <c r="G63" s="8"/>
      <c r="H63" s="110"/>
      <c r="I63" s="114"/>
    </row>
    <row r="64" spans="1:9">
      <c r="C64" s="17" t="s">
        <v>57</v>
      </c>
      <c r="D64" s="4"/>
      <c r="E64" s="4"/>
      <c r="F64" s="4"/>
      <c r="G64" s="4"/>
      <c r="H64" s="11"/>
      <c r="I64" s="57" t="e">
        <f>TRUNC(I49+I61,2)</f>
        <v>#REF!</v>
      </c>
    </row>
    <row r="65" spans="1:9" ht="16.5" thickBot="1">
      <c r="A65" s="5"/>
      <c r="B65" s="5"/>
      <c r="C65" s="33"/>
      <c r="D65" s="5"/>
      <c r="E65" s="5"/>
      <c r="F65" s="5"/>
      <c r="G65" s="5"/>
      <c r="H65" s="20"/>
      <c r="I65" s="35"/>
    </row>
  </sheetData>
  <mergeCells count="2">
    <mergeCell ref="C4:H4"/>
    <mergeCell ref="A1:I2"/>
  </mergeCells>
  <printOptions horizontalCentered="1" verticalCentered="1"/>
  <pageMargins left="0.91" right="0.75" top="0.8" bottom="1" header="0" footer="0"/>
  <pageSetup scale="6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25">
    <tabColor rgb="FFFFFF00"/>
    <pageSetUpPr fitToPage="1"/>
  </sheetPr>
  <dimension ref="A1:Q67"/>
  <sheetViews>
    <sheetView showGridLines="0" showZeros="0" view="pageBreakPreview" zoomScale="83" zoomScaleNormal="75" zoomScaleSheetLayoutView="83" workbookViewId="0">
      <pane ySplit="11" topLeftCell="A30" activePane="bottomLeft" state="frozen"/>
      <selection activeCell="E26" sqref="E26"/>
      <selection pane="bottomLeft" activeCell="E38" sqref="E38"/>
    </sheetView>
  </sheetViews>
  <sheetFormatPr baseColWidth="10" defaultColWidth="9.140625" defaultRowHeight="15.75"/>
  <cols>
    <col min="1" max="1" width="15.28515625" style="4" customWidth="1"/>
    <col min="2" max="2" width="10.42578125" style="4" customWidth="1"/>
    <col min="3" max="3" width="45.7109375" style="40" customWidth="1"/>
    <col min="4" max="5" width="14.7109375" style="39" customWidth="1"/>
    <col min="6" max="6" width="17.140625" style="39" hidden="1" customWidth="1"/>
    <col min="7" max="7" width="20" style="39" hidden="1" customWidth="1"/>
    <col min="8" max="8" width="21.42578125" style="46" customWidth="1"/>
    <col min="9" max="9" width="15.7109375" style="39" customWidth="1"/>
    <col min="10" max="10" width="11.5703125" style="4" customWidth="1"/>
    <col min="11" max="11" width="13.85546875" style="4" bestFit="1" customWidth="1"/>
    <col min="12" max="16" width="9.140625" style="4"/>
    <col min="17" max="17" width="19.5703125" style="4" customWidth="1"/>
    <col min="18" max="16384" width="9.140625" style="4"/>
  </cols>
  <sheetData>
    <row r="1" spans="1:10" ht="15.75" customHeight="1">
      <c r="A1" s="322" t="s">
        <v>97</v>
      </c>
      <c r="B1" s="322"/>
      <c r="C1" s="322"/>
      <c r="D1" s="322"/>
      <c r="E1" s="322"/>
      <c r="F1" s="322"/>
      <c r="G1" s="322"/>
      <c r="H1" s="322"/>
      <c r="I1" s="322"/>
    </row>
    <row r="2" spans="1:10" ht="13.5" customHeight="1">
      <c r="A2" s="322"/>
      <c r="B2" s="322"/>
      <c r="C2" s="322"/>
      <c r="D2" s="322"/>
      <c r="E2" s="322"/>
      <c r="F2" s="322"/>
      <c r="G2" s="322"/>
      <c r="H2" s="322"/>
      <c r="I2" s="322"/>
    </row>
    <row r="3" spans="1:10" ht="13.5" customHeight="1">
      <c r="A3" s="323"/>
      <c r="B3" s="323"/>
      <c r="C3" s="323"/>
      <c r="D3" s="323"/>
      <c r="E3" s="323"/>
      <c r="F3" s="323"/>
      <c r="G3" s="323"/>
      <c r="H3" s="323"/>
      <c r="I3" s="323"/>
    </row>
    <row r="4" spans="1:10" ht="13.5" customHeight="1">
      <c r="A4" s="194"/>
      <c r="B4" s="206" t="e">
        <f>#REF!</f>
        <v>#REF!</v>
      </c>
      <c r="C4" s="324"/>
      <c r="D4" s="324"/>
      <c r="E4" s="324"/>
      <c r="F4" s="324"/>
      <c r="G4" s="324"/>
      <c r="H4" s="324"/>
      <c r="I4" s="49"/>
    </row>
    <row r="5" spans="1:10" ht="13.5" customHeight="1">
      <c r="A5" s="24"/>
      <c r="B5" s="22"/>
      <c r="C5" s="38"/>
      <c r="D5" s="38"/>
      <c r="E5" s="38"/>
      <c r="F5" s="38"/>
      <c r="G5" s="38"/>
      <c r="H5" s="38"/>
      <c r="I5" s="38"/>
    </row>
    <row r="6" spans="1:10" ht="13.5" customHeight="1">
      <c r="A6" s="109" t="s">
        <v>43</v>
      </c>
      <c r="B6" s="16"/>
      <c r="C6" s="162" t="s">
        <v>153</v>
      </c>
      <c r="I6" s="82"/>
    </row>
    <row r="7" spans="1:10" ht="21" customHeight="1">
      <c r="A7" s="109" t="s">
        <v>112</v>
      </c>
      <c r="B7" s="162"/>
      <c r="C7" s="161" t="s">
        <v>8</v>
      </c>
      <c r="I7" s="82"/>
    </row>
    <row r="8" spans="1:10" ht="15.75" customHeight="1">
      <c r="A8" s="109" t="s">
        <v>113</v>
      </c>
      <c r="B8" s="162"/>
      <c r="C8" s="163">
        <v>1</v>
      </c>
      <c r="I8" s="82"/>
    </row>
    <row r="9" spans="1:10" ht="16.5" thickBot="1">
      <c r="A9" s="20"/>
      <c r="B9" s="5"/>
      <c r="C9" s="41"/>
      <c r="D9" s="42"/>
      <c r="E9" s="42"/>
      <c r="F9" s="42"/>
      <c r="G9" s="42"/>
      <c r="H9" s="20"/>
      <c r="I9" s="43"/>
    </row>
    <row r="10" spans="1:10" ht="15.75" customHeight="1">
      <c r="A10" s="325" t="s">
        <v>2</v>
      </c>
      <c r="C10" s="325" t="s">
        <v>3</v>
      </c>
      <c r="D10" s="325" t="s">
        <v>4</v>
      </c>
      <c r="E10" s="325" t="s">
        <v>5</v>
      </c>
      <c r="F10" s="205" t="s">
        <v>36</v>
      </c>
      <c r="G10" s="205" t="s">
        <v>26</v>
      </c>
      <c r="H10" s="13" t="s">
        <v>26</v>
      </c>
      <c r="I10" s="327" t="s">
        <v>124</v>
      </c>
      <c r="J10" s="18"/>
    </row>
    <row r="11" spans="1:10">
      <c r="A11" s="326"/>
      <c r="B11" s="9"/>
      <c r="C11" s="326"/>
      <c r="D11" s="326"/>
      <c r="E11" s="326"/>
      <c r="F11" s="9" t="s">
        <v>76</v>
      </c>
      <c r="G11" s="9" t="s">
        <v>77</v>
      </c>
      <c r="H11" s="21" t="s">
        <v>123</v>
      </c>
      <c r="I11" s="328"/>
    </row>
    <row r="12" spans="1:10">
      <c r="A12" s="205">
        <v>1</v>
      </c>
      <c r="B12" s="72" t="s">
        <v>25</v>
      </c>
      <c r="C12" s="48" t="s">
        <v>9</v>
      </c>
      <c r="E12" s="68"/>
      <c r="H12" s="49"/>
    </row>
    <row r="13" spans="1:10">
      <c r="A13" s="205"/>
      <c r="C13" s="40" t="e">
        <f t="shared" ref="C13:C22" si="0">IF(ISNA(VLOOKUP(B13,CU_MATERIALES,2,FALSE)),0,VLOOKUP(B13,CU_MATERIALES,2,FALSE))</f>
        <v>#REF!</v>
      </c>
      <c r="D13" s="49" t="e">
        <f t="shared" ref="D13:D22" si="1">IF(ISNA(VLOOKUP(B13,CU_MATERIALES,3,FALSE)),0,VLOOKUP(B13,CU_MATERIALES,3,FALSE))</f>
        <v>#REF!</v>
      </c>
      <c r="E13" s="98"/>
      <c r="F13" s="49"/>
      <c r="G13" s="49"/>
      <c r="H13" s="36" t="e">
        <f t="shared" ref="H13:H22" si="2">IF(ISNA(VLOOKUP(B13,CU_MATERIALES,3,FALSE)),0,VLOOKUP(B13,CU_MATERIALES,4,FALSE))</f>
        <v>#REF!</v>
      </c>
      <c r="I13" s="50" t="e">
        <f t="shared" ref="I13:I22" si="3">ROUND(H13*E13,2)</f>
        <v>#REF!</v>
      </c>
      <c r="J13" s="7"/>
    </row>
    <row r="14" spans="1:10">
      <c r="A14" s="205"/>
      <c r="C14" s="40" t="e">
        <f t="shared" si="0"/>
        <v>#REF!</v>
      </c>
      <c r="D14" s="49" t="e">
        <f t="shared" si="1"/>
        <v>#REF!</v>
      </c>
      <c r="E14" s="98"/>
      <c r="F14" s="49"/>
      <c r="G14" s="49"/>
      <c r="H14" s="36" t="e">
        <f t="shared" si="2"/>
        <v>#REF!</v>
      </c>
      <c r="I14" s="50" t="e">
        <f t="shared" si="3"/>
        <v>#REF!</v>
      </c>
      <c r="J14" s="7"/>
    </row>
    <row r="15" spans="1:10">
      <c r="A15" s="205"/>
      <c r="C15" s="40" t="e">
        <f t="shared" si="0"/>
        <v>#REF!</v>
      </c>
      <c r="D15" s="49" t="e">
        <f t="shared" si="1"/>
        <v>#REF!</v>
      </c>
      <c r="E15" s="98"/>
      <c r="F15" s="49"/>
      <c r="G15" s="49"/>
      <c r="H15" s="36" t="e">
        <f t="shared" si="2"/>
        <v>#REF!</v>
      </c>
      <c r="I15" s="50" t="e">
        <f t="shared" si="3"/>
        <v>#REF!</v>
      </c>
      <c r="J15" s="7"/>
    </row>
    <row r="16" spans="1:10">
      <c r="A16" s="205"/>
      <c r="C16" s="40" t="e">
        <f t="shared" si="0"/>
        <v>#REF!</v>
      </c>
      <c r="D16" s="49" t="e">
        <f t="shared" si="1"/>
        <v>#REF!</v>
      </c>
      <c r="E16" s="73"/>
      <c r="F16" s="49"/>
      <c r="G16" s="49"/>
      <c r="H16" s="36" t="e">
        <f t="shared" si="2"/>
        <v>#REF!</v>
      </c>
      <c r="I16" s="50" t="e">
        <f t="shared" si="3"/>
        <v>#REF!</v>
      </c>
      <c r="J16" s="7"/>
    </row>
    <row r="17" spans="1:10">
      <c r="A17" s="205"/>
      <c r="C17" s="40" t="e">
        <f t="shared" si="0"/>
        <v>#REF!</v>
      </c>
      <c r="D17" s="49" t="e">
        <f t="shared" si="1"/>
        <v>#REF!</v>
      </c>
      <c r="E17" s="73"/>
      <c r="F17" s="49"/>
      <c r="G17" s="49"/>
      <c r="H17" s="36" t="e">
        <f t="shared" si="2"/>
        <v>#REF!</v>
      </c>
      <c r="I17" s="50" t="e">
        <f t="shared" si="3"/>
        <v>#REF!</v>
      </c>
      <c r="J17" s="7"/>
    </row>
    <row r="18" spans="1:10">
      <c r="A18" s="205"/>
      <c r="C18" s="40" t="e">
        <f t="shared" si="0"/>
        <v>#REF!</v>
      </c>
      <c r="D18" s="49" t="e">
        <f t="shared" si="1"/>
        <v>#REF!</v>
      </c>
      <c r="E18" s="73"/>
      <c r="F18" s="49"/>
      <c r="G18" s="49"/>
      <c r="H18" s="36" t="e">
        <f t="shared" si="2"/>
        <v>#REF!</v>
      </c>
      <c r="I18" s="50" t="e">
        <f t="shared" si="3"/>
        <v>#REF!</v>
      </c>
      <c r="J18" s="7"/>
    </row>
    <row r="19" spans="1:10">
      <c r="A19" s="205"/>
      <c r="C19" s="40" t="e">
        <f t="shared" si="0"/>
        <v>#REF!</v>
      </c>
      <c r="D19" s="49" t="e">
        <f t="shared" si="1"/>
        <v>#REF!</v>
      </c>
      <c r="E19" s="73"/>
      <c r="F19" s="49"/>
      <c r="G19" s="49"/>
      <c r="H19" s="36" t="e">
        <f t="shared" si="2"/>
        <v>#REF!</v>
      </c>
      <c r="I19" s="50" t="e">
        <f t="shared" si="3"/>
        <v>#REF!</v>
      </c>
      <c r="J19" s="7"/>
    </row>
    <row r="20" spans="1:10">
      <c r="A20" s="205"/>
      <c r="C20" s="40" t="e">
        <f t="shared" si="0"/>
        <v>#REF!</v>
      </c>
      <c r="D20" s="49" t="e">
        <f t="shared" si="1"/>
        <v>#REF!</v>
      </c>
      <c r="E20" s="73"/>
      <c r="F20" s="49"/>
      <c r="G20" s="49"/>
      <c r="H20" s="36" t="e">
        <f t="shared" si="2"/>
        <v>#REF!</v>
      </c>
      <c r="I20" s="50" t="e">
        <f t="shared" si="3"/>
        <v>#REF!</v>
      </c>
      <c r="J20" s="7"/>
    </row>
    <row r="21" spans="1:10">
      <c r="A21" s="205"/>
      <c r="C21" s="40" t="e">
        <f t="shared" si="0"/>
        <v>#REF!</v>
      </c>
      <c r="D21" s="49" t="e">
        <f t="shared" si="1"/>
        <v>#REF!</v>
      </c>
      <c r="E21" s="115"/>
      <c r="F21" s="49"/>
      <c r="G21" s="49"/>
      <c r="H21" s="36" t="e">
        <f t="shared" si="2"/>
        <v>#REF!</v>
      </c>
      <c r="I21" s="50" t="e">
        <f t="shared" si="3"/>
        <v>#REF!</v>
      </c>
      <c r="J21" s="7"/>
    </row>
    <row r="22" spans="1:10">
      <c r="A22" s="205"/>
      <c r="C22" s="40" t="e">
        <f t="shared" si="0"/>
        <v>#REF!</v>
      </c>
      <c r="D22" s="49" t="e">
        <f t="shared" si="1"/>
        <v>#REF!</v>
      </c>
      <c r="E22" s="115"/>
      <c r="F22" s="49"/>
      <c r="G22" s="49"/>
      <c r="H22" s="36" t="e">
        <f t="shared" si="2"/>
        <v>#REF!</v>
      </c>
      <c r="I22" s="50" t="e">
        <f t="shared" si="3"/>
        <v>#REF!</v>
      </c>
      <c r="J22" s="7"/>
    </row>
    <row r="23" spans="1:10" ht="16.5" thickBot="1">
      <c r="A23" s="168"/>
      <c r="B23" s="28"/>
      <c r="C23" s="51" t="s">
        <v>95</v>
      </c>
      <c r="D23" s="52"/>
      <c r="E23" s="145"/>
      <c r="F23" s="52"/>
      <c r="G23" s="52"/>
      <c r="H23" s="30"/>
      <c r="I23" s="54" t="e">
        <f>ROUND(SUM(I13:I22),2)</f>
        <v>#REF!</v>
      </c>
      <c r="J23" s="7"/>
    </row>
    <row r="24" spans="1:10" ht="16.5" thickTop="1">
      <c r="A24" s="205">
        <v>2</v>
      </c>
      <c r="B24" s="72" t="s">
        <v>25</v>
      </c>
      <c r="C24" s="48" t="s">
        <v>29</v>
      </c>
      <c r="E24" s="115"/>
      <c r="H24" s="11"/>
      <c r="I24" s="50">
        <f t="shared" ref="I24:I35" si="4">ROUND(H24*E24,2)</f>
        <v>0</v>
      </c>
      <c r="J24" s="7"/>
    </row>
    <row r="25" spans="1:10">
      <c r="A25" s="205"/>
      <c r="B25" s="4">
        <v>4900</v>
      </c>
      <c r="C25" s="40" t="e">
        <f t="shared" ref="C25:C35" si="5">IF(ISNA(VLOOKUP(B25,CU_MANO_DE_OBRA,2,FALSE)),0,VLOOKUP(B25,CU_MANO_DE_OBRA,2,FALSE))</f>
        <v>#REF!</v>
      </c>
      <c r="D25" s="49" t="e">
        <f t="shared" ref="D25:D35" si="6">IF(ISNA(VLOOKUP(B25,CU_MANO_DE_OBRA,3,FALSE)),0,VLOOKUP(B25,CU_MANO_DE_OBRA,3,FALSE))</f>
        <v>#REF!</v>
      </c>
      <c r="E25" s="115">
        <v>1.4999999999999999E-2</v>
      </c>
      <c r="F25" s="49"/>
      <c r="G25" s="49"/>
      <c r="H25" s="36" t="e">
        <f t="shared" ref="H25:H35" si="7">IF(ISNA(VLOOKUP(B25,CU_MANO_DE_OBRA,3,FALSE)),0,VLOOKUP(B25,CU_MANO_DE_OBRA,4,FALSE))</f>
        <v>#REF!</v>
      </c>
      <c r="I25" s="50" t="e">
        <f t="shared" si="4"/>
        <v>#REF!</v>
      </c>
      <c r="J25" s="7"/>
    </row>
    <row r="26" spans="1:10">
      <c r="A26" s="205"/>
      <c r="B26" s="4">
        <v>7400</v>
      </c>
      <c r="C26" s="40" t="e">
        <f t="shared" si="5"/>
        <v>#REF!</v>
      </c>
      <c r="D26" s="49" t="e">
        <f t="shared" si="6"/>
        <v>#REF!</v>
      </c>
      <c r="E26" s="115">
        <v>1.4999999999999999E-2</v>
      </c>
      <c r="F26" s="49"/>
      <c r="G26" s="49"/>
      <c r="H26" s="36" t="e">
        <f t="shared" si="7"/>
        <v>#REF!</v>
      </c>
      <c r="I26" s="50" t="e">
        <f t="shared" si="4"/>
        <v>#REF!</v>
      </c>
      <c r="J26" s="7"/>
    </row>
    <row r="27" spans="1:10">
      <c r="A27" s="205"/>
      <c r="C27" s="40" t="e">
        <f t="shared" si="5"/>
        <v>#REF!</v>
      </c>
      <c r="D27" s="49" t="e">
        <f t="shared" si="6"/>
        <v>#REF!</v>
      </c>
      <c r="E27" s="115"/>
      <c r="F27" s="49"/>
      <c r="G27" s="49"/>
      <c r="H27" s="37" t="e">
        <f t="shared" si="7"/>
        <v>#REF!</v>
      </c>
      <c r="I27" s="50" t="e">
        <f t="shared" si="4"/>
        <v>#REF!</v>
      </c>
      <c r="J27" s="7"/>
    </row>
    <row r="28" spans="1:10">
      <c r="A28" s="205"/>
      <c r="C28" s="40" t="e">
        <f t="shared" si="5"/>
        <v>#REF!</v>
      </c>
      <c r="D28" s="49" t="e">
        <f t="shared" si="6"/>
        <v>#REF!</v>
      </c>
      <c r="E28" s="115"/>
      <c r="F28" s="49"/>
      <c r="G28" s="49"/>
      <c r="H28" s="37" t="e">
        <f t="shared" si="7"/>
        <v>#REF!</v>
      </c>
      <c r="I28" s="50" t="e">
        <f t="shared" si="4"/>
        <v>#REF!</v>
      </c>
      <c r="J28" s="7"/>
    </row>
    <row r="29" spans="1:10">
      <c r="A29" s="205"/>
      <c r="C29" s="40" t="e">
        <f t="shared" si="5"/>
        <v>#REF!</v>
      </c>
      <c r="D29" s="49" t="e">
        <f t="shared" si="6"/>
        <v>#REF!</v>
      </c>
      <c r="E29" s="115"/>
      <c r="F29" s="49"/>
      <c r="G29" s="49"/>
      <c r="H29" s="37" t="e">
        <f t="shared" si="7"/>
        <v>#REF!</v>
      </c>
      <c r="I29" s="50" t="e">
        <f t="shared" si="4"/>
        <v>#REF!</v>
      </c>
      <c r="J29" s="7"/>
    </row>
    <row r="30" spans="1:10">
      <c r="A30" s="205"/>
      <c r="C30" s="40" t="e">
        <f t="shared" si="5"/>
        <v>#REF!</v>
      </c>
      <c r="D30" s="49" t="e">
        <f t="shared" si="6"/>
        <v>#REF!</v>
      </c>
      <c r="E30" s="115"/>
      <c r="F30" s="49"/>
      <c r="G30" s="49"/>
      <c r="H30" s="37" t="e">
        <f t="shared" si="7"/>
        <v>#REF!</v>
      </c>
      <c r="I30" s="50" t="e">
        <f t="shared" si="4"/>
        <v>#REF!</v>
      </c>
      <c r="J30" s="7"/>
    </row>
    <row r="31" spans="1:10">
      <c r="A31" s="205"/>
      <c r="C31" s="40" t="e">
        <f t="shared" si="5"/>
        <v>#REF!</v>
      </c>
      <c r="D31" s="49" t="e">
        <f t="shared" si="6"/>
        <v>#REF!</v>
      </c>
      <c r="E31" s="115"/>
      <c r="F31" s="49"/>
      <c r="G31" s="49"/>
      <c r="H31" s="37" t="e">
        <f t="shared" si="7"/>
        <v>#REF!</v>
      </c>
      <c r="I31" s="50" t="e">
        <f t="shared" si="4"/>
        <v>#REF!</v>
      </c>
      <c r="J31" s="7"/>
    </row>
    <row r="32" spans="1:10">
      <c r="A32" s="205"/>
      <c r="C32" s="40" t="e">
        <f t="shared" si="5"/>
        <v>#REF!</v>
      </c>
      <c r="D32" s="49" t="e">
        <f t="shared" si="6"/>
        <v>#REF!</v>
      </c>
      <c r="E32" s="115"/>
      <c r="F32" s="49"/>
      <c r="G32" s="49"/>
      <c r="H32" s="37" t="e">
        <f t="shared" si="7"/>
        <v>#REF!</v>
      </c>
      <c r="I32" s="50" t="e">
        <f t="shared" si="4"/>
        <v>#REF!</v>
      </c>
      <c r="J32" s="7"/>
    </row>
    <row r="33" spans="1:17">
      <c r="A33" s="205"/>
      <c r="C33" s="40" t="e">
        <f t="shared" si="5"/>
        <v>#REF!</v>
      </c>
      <c r="D33" s="49" t="e">
        <f t="shared" si="6"/>
        <v>#REF!</v>
      </c>
      <c r="E33" s="115"/>
      <c r="F33" s="49"/>
      <c r="G33" s="49"/>
      <c r="H33" s="37" t="e">
        <f t="shared" si="7"/>
        <v>#REF!</v>
      </c>
      <c r="I33" s="50" t="e">
        <f t="shared" si="4"/>
        <v>#REF!</v>
      </c>
      <c r="J33" s="7"/>
    </row>
    <row r="34" spans="1:17" ht="16.5" thickBot="1">
      <c r="A34" s="205"/>
      <c r="C34" s="51" t="s">
        <v>30</v>
      </c>
      <c r="D34" s="52"/>
      <c r="E34" s="145"/>
      <c r="F34" s="52"/>
      <c r="G34" s="52"/>
      <c r="H34" s="30"/>
      <c r="I34" s="54" t="e">
        <f>ROUND(SUM(I25:I33),2)</f>
        <v>#REF!</v>
      </c>
      <c r="J34" s="7"/>
    </row>
    <row r="35" spans="1:17" ht="16.5" thickTop="1">
      <c r="A35" s="205"/>
      <c r="B35" s="26">
        <v>300</v>
      </c>
      <c r="C35" s="55" t="e">
        <f t="shared" si="5"/>
        <v>#REF!</v>
      </c>
      <c r="D35" s="149" t="e">
        <f t="shared" si="6"/>
        <v>#REF!</v>
      </c>
      <c r="E35" s="153" t="e">
        <f>SUM(I34)</f>
        <v>#REF!</v>
      </c>
      <c r="F35" s="56"/>
      <c r="G35" s="56"/>
      <c r="H35" s="76" t="e">
        <f t="shared" si="7"/>
        <v>#REF!</v>
      </c>
      <c r="I35" s="50" t="e">
        <f t="shared" si="4"/>
        <v>#REF!</v>
      </c>
      <c r="J35" s="7"/>
    </row>
    <row r="36" spans="1:17" ht="16.5" thickBot="1">
      <c r="A36" s="168"/>
      <c r="B36" s="28"/>
      <c r="C36" s="51" t="s">
        <v>96</v>
      </c>
      <c r="D36" s="52"/>
      <c r="E36" s="145"/>
      <c r="F36" s="52"/>
      <c r="G36" s="52"/>
      <c r="H36" s="30"/>
      <c r="I36" s="54" t="e">
        <f>ROUND(SUM(I34:I35),2)</f>
        <v>#REF!</v>
      </c>
      <c r="J36" s="7"/>
    </row>
    <row r="37" spans="1:17" ht="16.5" thickTop="1">
      <c r="A37" s="205">
        <v>3</v>
      </c>
      <c r="B37" s="72" t="s">
        <v>25</v>
      </c>
      <c r="C37" s="48" t="s">
        <v>98</v>
      </c>
      <c r="E37" s="115"/>
      <c r="H37" s="11"/>
      <c r="I37" s="50">
        <f t="shared" ref="I37:I48" si="8">ROUND(H37*E37,2)</f>
        <v>0</v>
      </c>
      <c r="J37" s="7"/>
    </row>
    <row r="38" spans="1:17">
      <c r="A38" s="205"/>
      <c r="B38" s="4">
        <v>300</v>
      </c>
      <c r="C38" s="40" t="e">
        <f t="shared" ref="C38:C48" si="9">IF(ISNA(VLOOKUP(B38,CU_EQUIPO,2,FALSE)),0,VLOOKUP(B38,CU_EQUIPO,2,FALSE))</f>
        <v>#REF!</v>
      </c>
      <c r="D38" s="49" t="e">
        <f t="shared" ref="D38:D48" si="10">IF(ISNA(VLOOKUP(B38,CU_EQUIPO,3,FALSE)),0,VLOOKUP(B38,CU_EQUIPO,3,FALSE))</f>
        <v>#REF!</v>
      </c>
      <c r="E38" s="115">
        <v>8.2909999999999998E-2</v>
      </c>
      <c r="F38" s="49"/>
      <c r="G38" s="49"/>
      <c r="H38" s="11" t="e">
        <f t="shared" ref="H38:H48" si="11">IF(ISNA(VLOOKUP(B38,CU_EQUIPO,3,FALSE)),0,VLOOKUP(B38,CU_EQUIPO,4,FALSE))</f>
        <v>#REF!</v>
      </c>
      <c r="I38" s="50" t="e">
        <f t="shared" si="8"/>
        <v>#REF!</v>
      </c>
      <c r="J38" s="7"/>
      <c r="K38" s="4">
        <f>7*6</f>
        <v>42</v>
      </c>
    </row>
    <row r="39" spans="1:17">
      <c r="A39" s="205"/>
      <c r="C39" s="40" t="e">
        <f t="shared" si="9"/>
        <v>#REF!</v>
      </c>
      <c r="D39" s="49" t="e">
        <f t="shared" si="10"/>
        <v>#REF!</v>
      </c>
      <c r="E39" s="115"/>
      <c r="F39" s="49"/>
      <c r="G39" s="49"/>
      <c r="H39" s="19" t="e">
        <f t="shared" si="11"/>
        <v>#REF!</v>
      </c>
      <c r="I39" s="50" t="e">
        <f t="shared" si="8"/>
        <v>#REF!</v>
      </c>
      <c r="J39" s="7"/>
      <c r="K39" s="4">
        <f>K38/(3*0.15)</f>
        <v>93.333333333333343</v>
      </c>
      <c r="M39" s="4">
        <v>93</v>
      </c>
      <c r="N39" s="4">
        <v>300</v>
      </c>
      <c r="Q39" s="124"/>
    </row>
    <row r="40" spans="1:17">
      <c r="A40" s="205"/>
      <c r="C40" s="40" t="e">
        <f t="shared" si="9"/>
        <v>#REF!</v>
      </c>
      <c r="D40" s="49" t="e">
        <f t="shared" si="10"/>
        <v>#REF!</v>
      </c>
      <c r="E40" s="115"/>
      <c r="F40" s="49"/>
      <c r="G40" s="49"/>
      <c r="H40" s="19" t="e">
        <f t="shared" si="11"/>
        <v>#REF!</v>
      </c>
      <c r="I40" s="50" t="e">
        <f t="shared" si="8"/>
        <v>#REF!</v>
      </c>
      <c r="J40" s="7"/>
      <c r="M40" s="4">
        <f>(K39/1.2)*3</f>
        <v>233.33333333333337</v>
      </c>
      <c r="N40" s="4">
        <f>N39/326</f>
        <v>0.92024539877300615</v>
      </c>
    </row>
    <row r="41" spans="1:17">
      <c r="A41" s="205"/>
      <c r="C41" s="40" t="e">
        <f t="shared" si="9"/>
        <v>#REF!</v>
      </c>
      <c r="D41" s="49" t="e">
        <f t="shared" si="10"/>
        <v>#REF!</v>
      </c>
      <c r="E41" s="73"/>
      <c r="F41" s="49"/>
      <c r="G41" s="49"/>
      <c r="H41" s="11" t="e">
        <f t="shared" si="11"/>
        <v>#REF!</v>
      </c>
      <c r="I41" s="50" t="e">
        <f t="shared" si="8"/>
        <v>#REF!</v>
      </c>
      <c r="J41" s="7"/>
      <c r="M41" s="4">
        <f>M39+M40</f>
        <v>326.33333333333337</v>
      </c>
    </row>
    <row r="42" spans="1:17">
      <c r="A42" s="205"/>
      <c r="C42" s="40" t="e">
        <f t="shared" si="9"/>
        <v>#REF!</v>
      </c>
      <c r="D42" s="49" t="e">
        <f t="shared" si="10"/>
        <v>#REF!</v>
      </c>
      <c r="E42" s="73"/>
      <c r="F42" s="49"/>
      <c r="G42" s="49"/>
      <c r="H42" s="11">
        <v>0</v>
      </c>
      <c r="I42" s="50">
        <f t="shared" si="8"/>
        <v>0</v>
      </c>
      <c r="J42" s="7"/>
      <c r="K42" s="4" t="s">
        <v>163</v>
      </c>
      <c r="M42" s="4">
        <f>500/M41</f>
        <v>1.5321756894790601</v>
      </c>
      <c r="O42" s="4">
        <f>500/8</f>
        <v>62.5</v>
      </c>
      <c r="P42" s="4">
        <f>M42+M44+M45</f>
        <v>5.8040459652706842</v>
      </c>
    </row>
    <row r="43" spans="1:17">
      <c r="A43" s="205"/>
      <c r="C43" s="40" t="e">
        <f t="shared" si="9"/>
        <v>#REF!</v>
      </c>
      <c r="D43" s="49" t="e">
        <f t="shared" si="10"/>
        <v>#REF!</v>
      </c>
      <c r="E43" s="73"/>
      <c r="F43" s="49"/>
      <c r="G43" s="49"/>
      <c r="H43" s="11" t="e">
        <f t="shared" si="11"/>
        <v>#REF!</v>
      </c>
      <c r="I43" s="50" t="e">
        <f t="shared" si="8"/>
        <v>#REF!</v>
      </c>
      <c r="J43" s="7"/>
      <c r="K43" s="4" t="s">
        <v>164</v>
      </c>
      <c r="M43" s="4">
        <v>0.92</v>
      </c>
    </row>
    <row r="44" spans="1:17">
      <c r="A44" s="206"/>
      <c r="C44" s="40" t="e">
        <f t="shared" si="9"/>
        <v>#REF!</v>
      </c>
      <c r="D44" s="49" t="e">
        <f t="shared" si="10"/>
        <v>#REF!</v>
      </c>
      <c r="E44" s="73"/>
      <c r="F44" s="49"/>
      <c r="G44" s="49"/>
      <c r="H44" s="11" t="e">
        <f t="shared" si="11"/>
        <v>#REF!</v>
      </c>
      <c r="I44" s="50" t="e">
        <f t="shared" si="8"/>
        <v>#REF!</v>
      </c>
      <c r="J44" s="7"/>
      <c r="K44" s="4" t="s">
        <v>165</v>
      </c>
      <c r="M44" s="4">
        <f>3659/1000</f>
        <v>3.6589999999999998</v>
      </c>
      <c r="P44" s="4">
        <f>P42/70</f>
        <v>8.2914942361009769E-2</v>
      </c>
    </row>
    <row r="45" spans="1:17">
      <c r="C45" s="40" t="e">
        <f t="shared" si="9"/>
        <v>#REF!</v>
      </c>
      <c r="D45" s="49" t="e">
        <f t="shared" si="10"/>
        <v>#REF!</v>
      </c>
      <c r="E45" s="73"/>
      <c r="F45" s="49"/>
      <c r="G45" s="49"/>
      <c r="H45" s="11" t="e">
        <f t="shared" si="11"/>
        <v>#REF!</v>
      </c>
      <c r="I45" s="50" t="e">
        <f t="shared" si="8"/>
        <v>#REF!</v>
      </c>
      <c r="J45" s="7"/>
      <c r="K45" s="4" t="s">
        <v>166</v>
      </c>
      <c r="M45" s="4">
        <f>200/M41</f>
        <v>0.61287027579162401</v>
      </c>
    </row>
    <row r="46" spans="1:17">
      <c r="C46" s="40" t="e">
        <f t="shared" si="9"/>
        <v>#REF!</v>
      </c>
      <c r="D46" s="49" t="e">
        <f t="shared" si="10"/>
        <v>#REF!</v>
      </c>
      <c r="E46" s="73"/>
      <c r="F46" s="49"/>
      <c r="G46" s="49"/>
      <c r="H46" s="11" t="e">
        <f t="shared" si="11"/>
        <v>#REF!</v>
      </c>
      <c r="I46" s="50" t="e">
        <f t="shared" si="8"/>
        <v>#REF!</v>
      </c>
      <c r="J46" s="7"/>
      <c r="M46" s="4">
        <f>SUM(M42:M45)</f>
        <v>6.7240459652706841</v>
      </c>
    </row>
    <row r="47" spans="1:17">
      <c r="C47" s="40" t="e">
        <f t="shared" si="9"/>
        <v>#REF!</v>
      </c>
      <c r="D47" s="49" t="e">
        <f t="shared" si="10"/>
        <v>#REF!</v>
      </c>
      <c r="E47" s="73"/>
      <c r="F47" s="49"/>
      <c r="G47" s="49"/>
      <c r="H47" s="11" t="e">
        <f t="shared" si="11"/>
        <v>#REF!</v>
      </c>
      <c r="I47" s="50" t="e">
        <f t="shared" si="8"/>
        <v>#REF!</v>
      </c>
      <c r="J47" s="7"/>
    </row>
    <row r="48" spans="1:17">
      <c r="B48" s="26">
        <v>20000</v>
      </c>
      <c r="C48" s="55" t="e">
        <f t="shared" si="9"/>
        <v>#REF!</v>
      </c>
      <c r="D48" s="149" t="e">
        <f t="shared" si="10"/>
        <v>#REF!</v>
      </c>
      <c r="E48" s="146" t="e">
        <f>E35</f>
        <v>#REF!</v>
      </c>
      <c r="F48" s="56"/>
      <c r="G48" s="56"/>
      <c r="H48" s="76" t="e">
        <f t="shared" si="11"/>
        <v>#REF!</v>
      </c>
      <c r="I48" s="144" t="e">
        <f t="shared" si="8"/>
        <v>#REF!</v>
      </c>
      <c r="J48" s="7"/>
    </row>
    <row r="49" spans="1:11" ht="16.5" thickBot="1">
      <c r="A49" s="28"/>
      <c r="B49" s="28"/>
      <c r="C49" s="51" t="s">
        <v>102</v>
      </c>
      <c r="D49" s="65"/>
      <c r="E49" s="65"/>
      <c r="F49" s="65"/>
      <c r="G49" s="65"/>
      <c r="H49" s="53"/>
      <c r="I49" s="54" t="e">
        <f>ROUND(SUM(I38:I48),2)</f>
        <v>#REF!</v>
      </c>
      <c r="J49" s="7"/>
    </row>
    <row r="50" spans="1:11" ht="16.5" thickTop="1">
      <c r="C50" s="6"/>
      <c r="D50" s="4"/>
      <c r="E50" s="4"/>
      <c r="F50" s="4"/>
      <c r="G50" s="4"/>
      <c r="H50" s="11"/>
      <c r="I50" s="14"/>
      <c r="J50" s="7"/>
    </row>
    <row r="51" spans="1:11" ht="16.5" customHeight="1">
      <c r="C51" s="17" t="s">
        <v>55</v>
      </c>
      <c r="D51" s="4"/>
      <c r="E51" s="4"/>
      <c r="F51" s="4"/>
      <c r="G51" s="4"/>
      <c r="H51" s="11"/>
      <c r="I51" s="15" t="e">
        <f>I23+I36+I49</f>
        <v>#REF!</v>
      </c>
      <c r="J51" s="7"/>
    </row>
    <row r="52" spans="1:11" ht="22.5" customHeight="1" thickBot="1">
      <c r="A52" s="103"/>
      <c r="B52" s="103"/>
      <c r="C52" s="104"/>
      <c r="D52" s="103"/>
      <c r="E52" s="103"/>
      <c r="F52" s="103"/>
      <c r="G52" s="103"/>
      <c r="H52" s="105"/>
      <c r="I52" s="107"/>
      <c r="J52" s="7"/>
    </row>
    <row r="53" spans="1:11" ht="18" customHeight="1" thickTop="1">
      <c r="A53" s="205">
        <v>4</v>
      </c>
      <c r="C53" s="17" t="s">
        <v>50</v>
      </c>
      <c r="D53" s="4"/>
      <c r="E53" s="4"/>
      <c r="F53" s="4"/>
      <c r="G53" s="4"/>
      <c r="H53" s="11"/>
      <c r="I53" s="14"/>
      <c r="J53" s="7"/>
    </row>
    <row r="54" spans="1:11">
      <c r="C54" s="6"/>
      <c r="D54" s="4"/>
      <c r="E54" s="4"/>
      <c r="F54" s="4"/>
      <c r="G54" s="4"/>
      <c r="H54" s="11"/>
      <c r="I54" s="14"/>
      <c r="J54" s="7"/>
    </row>
    <row r="55" spans="1:11">
      <c r="C55" s="6" t="s">
        <v>99</v>
      </c>
      <c r="D55" s="4"/>
      <c r="E55" s="4"/>
      <c r="F55" s="4"/>
      <c r="G55" s="4"/>
      <c r="H55" s="147">
        <f>Presupuesto!$E$88</f>
        <v>0.13</v>
      </c>
      <c r="I55" s="14" t="e">
        <f>ROUND((Presupuesto!E88)*I51,2)</f>
        <v>#REF!</v>
      </c>
      <c r="J55" s="7"/>
    </row>
    <row r="56" spans="1:11" hidden="1">
      <c r="C56" s="6" t="s">
        <v>100</v>
      </c>
      <c r="D56" s="4"/>
      <c r="E56" s="4"/>
      <c r="F56" s="4"/>
      <c r="G56" s="4"/>
      <c r="H56" s="147">
        <f>Presupuesto!$E$89</f>
        <v>0</v>
      </c>
      <c r="I56" s="14" t="e">
        <f>ROUND((Presupuesto!E89)*I51,2)</f>
        <v>#REF!</v>
      </c>
      <c r="J56" s="7"/>
    </row>
    <row r="57" spans="1:11" ht="16.5" thickBot="1">
      <c r="A57" s="28"/>
      <c r="B57" s="28"/>
      <c r="C57" s="29" t="s">
        <v>53</v>
      </c>
      <c r="D57" s="28"/>
      <c r="E57" s="28"/>
      <c r="F57" s="28"/>
      <c r="G57" s="28"/>
      <c r="H57" s="148"/>
      <c r="I57" s="108" t="e">
        <f>SUM(I55:I56)</f>
        <v>#REF!</v>
      </c>
    </row>
    <row r="58" spans="1:11" ht="16.5" thickTop="1">
      <c r="A58" s="205">
        <v>5</v>
      </c>
      <c r="C58" s="17" t="s">
        <v>16</v>
      </c>
      <c r="D58" s="4"/>
      <c r="E58" s="4"/>
      <c r="F58" s="4"/>
      <c r="G58" s="4"/>
      <c r="H58" s="147"/>
      <c r="I58" s="14"/>
    </row>
    <row r="59" spans="1:11">
      <c r="C59" s="6"/>
      <c r="D59" s="4"/>
      <c r="E59" s="4"/>
      <c r="F59" s="4"/>
      <c r="G59" s="4"/>
      <c r="H59" s="147"/>
      <c r="I59" s="14"/>
    </row>
    <row r="60" spans="1:11">
      <c r="C60" s="6" t="s">
        <v>101</v>
      </c>
      <c r="D60" s="4"/>
      <c r="E60" s="4"/>
      <c r="F60" s="4"/>
      <c r="G60" s="4"/>
      <c r="H60" s="147">
        <f>Presupuesto!$E$90</f>
        <v>7.0000000000000007E-2</v>
      </c>
      <c r="I60" s="14" t="e">
        <f>ROUND((Presupuesto!E90)*(I51+I57),2)</f>
        <v>#REF!</v>
      </c>
    </row>
    <row r="61" spans="1:11" ht="16.5" thickBot="1">
      <c r="A61" s="28"/>
      <c r="B61" s="28"/>
      <c r="C61" s="29" t="s">
        <v>54</v>
      </c>
      <c r="D61" s="28"/>
      <c r="E61" s="28"/>
      <c r="F61" s="28"/>
      <c r="G61" s="28"/>
      <c r="H61" s="30"/>
      <c r="I61" s="108" t="e">
        <f>SUM(I60)</f>
        <v>#REF!</v>
      </c>
      <c r="K61" s="4">
        <f>3*4000*0.12</f>
        <v>1440</v>
      </c>
    </row>
    <row r="62" spans="1:11" ht="18" hidden="1" customHeight="1" thickTop="1">
      <c r="C62" s="6"/>
      <c r="D62" s="4"/>
      <c r="E62" s="4"/>
      <c r="F62" s="4"/>
      <c r="G62" s="4"/>
      <c r="H62" s="11"/>
      <c r="I62" s="14"/>
    </row>
    <row r="63" spans="1:11" ht="16.5" hidden="1" thickTop="1">
      <c r="A63" s="8"/>
      <c r="B63" s="8"/>
      <c r="C63" s="109" t="s">
        <v>56</v>
      </c>
      <c r="D63" s="8"/>
      <c r="E63" s="8"/>
      <c r="F63" s="8"/>
      <c r="G63" s="8"/>
      <c r="H63" s="110"/>
      <c r="I63" s="112" t="e">
        <f>+I57+I61</f>
        <v>#REF!</v>
      </c>
    </row>
    <row r="64" spans="1:11" ht="17.25" hidden="1" thickTop="1" thickBot="1">
      <c r="A64" s="103"/>
      <c r="B64" s="103"/>
      <c r="C64" s="104"/>
      <c r="D64" s="103"/>
      <c r="E64" s="103"/>
      <c r="F64" s="103"/>
      <c r="G64" s="103"/>
      <c r="H64" s="105"/>
      <c r="I64" s="113"/>
    </row>
    <row r="65" spans="1:10" ht="16.5" thickTop="1">
      <c r="A65" s="8"/>
      <c r="B65" s="8"/>
      <c r="C65" s="32"/>
      <c r="D65" s="8"/>
      <c r="E65" s="8"/>
      <c r="F65" s="8"/>
      <c r="G65" s="8"/>
      <c r="H65" s="110"/>
      <c r="I65" s="114"/>
    </row>
    <row r="66" spans="1:10">
      <c r="C66" s="17" t="s">
        <v>57</v>
      </c>
      <c r="D66" s="4"/>
      <c r="E66" s="4"/>
      <c r="F66" s="4"/>
      <c r="G66" s="4"/>
      <c r="H66" s="11"/>
      <c r="I66" s="57" t="e">
        <f>TRUNC(I51+I63,2)</f>
        <v>#REF!</v>
      </c>
      <c r="J66" s="4">
        <v>0.15</v>
      </c>
    </row>
    <row r="67" spans="1:10" ht="16.5" thickBot="1">
      <c r="A67" s="5"/>
      <c r="B67" s="5"/>
      <c r="C67" s="33"/>
      <c r="D67" s="5"/>
      <c r="E67" s="5"/>
      <c r="F67" s="5"/>
      <c r="G67" s="5"/>
      <c r="H67" s="20"/>
      <c r="I67" s="35"/>
    </row>
  </sheetData>
  <mergeCells count="8">
    <mergeCell ref="A1:I2"/>
    <mergeCell ref="A3:I3"/>
    <mergeCell ref="C4:H4"/>
    <mergeCell ref="A10:A11"/>
    <mergeCell ref="C10:C11"/>
    <mergeCell ref="D10:D11"/>
    <mergeCell ref="E10:E11"/>
    <mergeCell ref="I10:I11"/>
  </mergeCells>
  <printOptions horizontalCentered="1" verticalCentered="1"/>
  <pageMargins left="0.91" right="0.75" top="0.8" bottom="1" header="0" footer="0"/>
  <pageSetup scale="64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32">
    <tabColor rgb="FFFF0000"/>
    <pageSetUpPr fitToPage="1"/>
  </sheetPr>
  <dimension ref="A1:AC65"/>
  <sheetViews>
    <sheetView showGridLines="0" showZeros="0" view="pageBreakPreview" zoomScale="80" zoomScaleSheetLayoutView="80" workbookViewId="0">
      <pane ySplit="11" topLeftCell="A24" activePane="bottomLeft" state="frozen"/>
      <selection activeCell="E26" sqref="E26"/>
      <selection pane="bottomLeft" activeCell="M17" sqref="M17"/>
    </sheetView>
  </sheetViews>
  <sheetFormatPr baseColWidth="10" defaultColWidth="9.140625" defaultRowHeight="15.75"/>
  <cols>
    <col min="1" max="1" width="15" style="4" customWidth="1"/>
    <col min="2" max="2" width="10.42578125" style="4" customWidth="1"/>
    <col min="3" max="3" width="45.85546875" style="40" customWidth="1"/>
    <col min="4" max="5" width="15.7109375" style="39" customWidth="1"/>
    <col min="6" max="6" width="15.7109375" style="39" hidden="1" customWidth="1"/>
    <col min="7" max="7" width="19" style="39" hidden="1" customWidth="1"/>
    <col min="8" max="8" width="21.42578125" style="46" customWidth="1"/>
    <col min="9" max="9" width="15.7109375" style="39" customWidth="1"/>
    <col min="10" max="16384" width="9.140625" style="4"/>
  </cols>
  <sheetData>
    <row r="1" spans="1:16" ht="15.75" customHeight="1">
      <c r="A1" s="322" t="s">
        <v>97</v>
      </c>
      <c r="B1" s="322"/>
      <c r="C1" s="322"/>
      <c r="D1" s="322"/>
      <c r="E1" s="322"/>
      <c r="F1" s="322"/>
      <c r="G1" s="322"/>
      <c r="H1" s="322"/>
      <c r="I1" s="322"/>
    </row>
    <row r="2" spans="1:16" ht="13.5" customHeight="1">
      <c r="A2" s="322"/>
      <c r="B2" s="322"/>
      <c r="C2" s="322"/>
      <c r="D2" s="322"/>
      <c r="E2" s="322"/>
      <c r="F2" s="322"/>
      <c r="G2" s="322"/>
      <c r="H2" s="322"/>
      <c r="I2" s="322"/>
    </row>
    <row r="3" spans="1:16" ht="13.5" customHeight="1">
      <c r="A3" s="323"/>
      <c r="B3" s="323"/>
      <c r="C3" s="323"/>
      <c r="D3" s="323"/>
      <c r="E3" s="323"/>
      <c r="F3" s="323"/>
      <c r="G3" s="323"/>
      <c r="H3" s="323"/>
      <c r="I3" s="323"/>
    </row>
    <row r="4" spans="1:16" ht="13.5" customHeight="1">
      <c r="A4" s="24"/>
      <c r="B4" s="22" t="e">
        <f>#REF!</f>
        <v>#REF!</v>
      </c>
      <c r="C4" s="324" t="e">
        <f>IF(ISNA(VLOOKUP(B4,PROYECTOS!$A$8:$B$55,2,FALSE)),0,VLOOKUP(B4,PROYECTOS!$A$8:$B$55,2,FALSE))</f>
        <v>#REF!</v>
      </c>
      <c r="D4" s="324"/>
      <c r="E4" s="324"/>
      <c r="F4" s="324"/>
      <c r="G4" s="324"/>
      <c r="H4" s="324"/>
      <c r="I4" s="38"/>
    </row>
    <row r="5" spans="1:16" ht="13.5" customHeight="1">
      <c r="A5" s="24"/>
      <c r="B5" s="22"/>
      <c r="C5" s="22">
        <f>IF(ISNA(VLOOKUP(B5,PRESUPUESTOS,2,FALSE)),0,VLOOKUP(B5,PRESUPUESTOS,2,FALSE))</f>
        <v>0</v>
      </c>
      <c r="D5" s="38"/>
      <c r="E5" s="38"/>
      <c r="F5" s="38"/>
      <c r="G5" s="38"/>
      <c r="H5" s="38"/>
      <c r="I5" s="38"/>
    </row>
    <row r="6" spans="1:16" ht="13.5" customHeight="1">
      <c r="A6" s="109" t="s">
        <v>43</v>
      </c>
      <c r="B6" s="16"/>
      <c r="C6" s="161" t="s">
        <v>156</v>
      </c>
      <c r="I6" s="82"/>
      <c r="N6" s="4">
        <f>10000/125</f>
        <v>80</v>
      </c>
      <c r="P6" s="4">
        <f>87*75</f>
        <v>6525</v>
      </c>
    </row>
    <row r="7" spans="1:16" ht="13.5" customHeight="1">
      <c r="A7" s="109" t="s">
        <v>112</v>
      </c>
      <c r="B7" s="162"/>
      <c r="C7" s="161" t="s">
        <v>157</v>
      </c>
      <c r="I7" s="82"/>
    </row>
    <row r="8" spans="1:16" ht="13.5" customHeight="1">
      <c r="A8" s="109" t="s">
        <v>113</v>
      </c>
      <c r="B8" s="162"/>
      <c r="C8" s="163">
        <v>1</v>
      </c>
      <c r="I8" s="82"/>
    </row>
    <row r="9" spans="1:16" ht="10.5" customHeight="1" thickBot="1">
      <c r="A9" s="164"/>
      <c r="B9" s="165"/>
      <c r="C9" s="166"/>
      <c r="D9" s="42"/>
      <c r="E9" s="42"/>
      <c r="F9" s="42"/>
      <c r="G9" s="42"/>
      <c r="H9" s="20"/>
      <c r="I9" s="43"/>
    </row>
    <row r="10" spans="1:16" ht="15.75" customHeight="1">
      <c r="A10" s="325" t="s">
        <v>2</v>
      </c>
      <c r="C10" s="325" t="s">
        <v>3</v>
      </c>
      <c r="D10" s="325" t="s">
        <v>4</v>
      </c>
      <c r="E10" s="325" t="s">
        <v>5</v>
      </c>
      <c r="F10" s="199" t="s">
        <v>36</v>
      </c>
      <c r="G10" s="199" t="s">
        <v>26</v>
      </c>
      <c r="H10" s="13" t="s">
        <v>26</v>
      </c>
      <c r="I10" s="327" t="s">
        <v>124</v>
      </c>
    </row>
    <row r="11" spans="1:16">
      <c r="A11" s="326"/>
      <c r="B11" s="9"/>
      <c r="C11" s="326"/>
      <c r="D11" s="326"/>
      <c r="E11" s="326"/>
      <c r="F11" s="9" t="s">
        <v>76</v>
      </c>
      <c r="G11" s="9" t="s">
        <v>77</v>
      </c>
      <c r="H11" s="21" t="s">
        <v>123</v>
      </c>
      <c r="I11" s="328"/>
    </row>
    <row r="12" spans="1:16">
      <c r="A12" s="199">
        <v>1</v>
      </c>
      <c r="B12" s="72" t="s">
        <v>25</v>
      </c>
      <c r="C12" s="48" t="s">
        <v>9</v>
      </c>
      <c r="E12" s="77"/>
      <c r="F12" s="77"/>
      <c r="H12" s="49"/>
    </row>
    <row r="13" spans="1:16">
      <c r="A13" s="199"/>
      <c r="B13" s="70">
        <v>700</v>
      </c>
      <c r="C13" s="40" t="e">
        <f t="shared" ref="C13:C22" si="0">IF(ISNA(VLOOKUP(B13,CU_MATERIALES,2,FALSE)),0,VLOOKUP(B13,CU_MATERIALES,2,FALSE))</f>
        <v>#REF!</v>
      </c>
      <c r="D13" s="49" t="e">
        <f t="shared" ref="D13:D22" si="1">IF(ISNA(VLOOKUP(B13,CU_MATERIALES,3,FALSE)),0,VLOOKUP(B13,CU_MATERIALES,3,FALSE))</f>
        <v>#REF!</v>
      </c>
      <c r="E13" s="77">
        <v>1</v>
      </c>
      <c r="F13" s="77"/>
      <c r="G13" s="49"/>
      <c r="H13" s="11" t="e">
        <f t="shared" ref="H13:H22" si="2">IF(ISNA(VLOOKUP(B13,CU_MATERIALES,3,FALSE)),0,VLOOKUP(B13,CU_MATERIALES,4,FALSE))</f>
        <v>#REF!</v>
      </c>
      <c r="I13" s="50" t="e">
        <f t="shared" ref="I13:I22" si="3">ROUND(H13*E13,2)</f>
        <v>#REF!</v>
      </c>
    </row>
    <row r="14" spans="1:16">
      <c r="A14" s="199"/>
      <c r="B14" s="70">
        <v>11800</v>
      </c>
      <c r="C14" s="40" t="e">
        <f t="shared" si="0"/>
        <v>#REF!</v>
      </c>
      <c r="D14" s="49" t="e">
        <f t="shared" si="1"/>
        <v>#REF!</v>
      </c>
      <c r="E14" s="264"/>
      <c r="F14" s="77"/>
      <c r="G14" s="49"/>
      <c r="H14" s="11" t="e">
        <f t="shared" si="2"/>
        <v>#REF!</v>
      </c>
      <c r="I14" s="50" t="e">
        <f t="shared" si="3"/>
        <v>#REF!</v>
      </c>
    </row>
    <row r="15" spans="1:16">
      <c r="A15" s="199"/>
      <c r="B15" s="70">
        <v>200</v>
      </c>
      <c r="C15" s="40" t="e">
        <f t="shared" si="0"/>
        <v>#REF!</v>
      </c>
      <c r="D15" s="49" t="e">
        <f t="shared" si="1"/>
        <v>#REF!</v>
      </c>
      <c r="E15" s="264"/>
      <c r="F15" s="77"/>
      <c r="G15" s="49"/>
      <c r="H15" s="11" t="e">
        <f t="shared" si="2"/>
        <v>#REF!</v>
      </c>
      <c r="I15" s="50" t="e">
        <f t="shared" si="3"/>
        <v>#REF!</v>
      </c>
    </row>
    <row r="16" spans="1:16">
      <c r="A16" s="199"/>
      <c r="B16" s="70"/>
      <c r="C16" s="40" t="e">
        <f t="shared" si="0"/>
        <v>#REF!</v>
      </c>
      <c r="D16" s="49" t="e">
        <f t="shared" si="1"/>
        <v>#REF!</v>
      </c>
      <c r="E16" s="77"/>
      <c r="F16" s="77"/>
      <c r="G16" s="49"/>
      <c r="H16" s="11" t="e">
        <f t="shared" si="2"/>
        <v>#REF!</v>
      </c>
      <c r="I16" s="50" t="e">
        <f t="shared" si="3"/>
        <v>#REF!</v>
      </c>
      <c r="M16" s="4" t="s">
        <v>268</v>
      </c>
    </row>
    <row r="17" spans="1:9">
      <c r="A17" s="199"/>
      <c r="B17" s="70"/>
      <c r="C17" s="40" t="e">
        <f t="shared" si="0"/>
        <v>#REF!</v>
      </c>
      <c r="D17" s="49" t="e">
        <f t="shared" si="1"/>
        <v>#REF!</v>
      </c>
      <c r="E17" s="77"/>
      <c r="F17" s="77"/>
      <c r="G17" s="49"/>
      <c r="H17" s="11" t="e">
        <f t="shared" si="2"/>
        <v>#REF!</v>
      </c>
      <c r="I17" s="50" t="e">
        <f t="shared" si="3"/>
        <v>#REF!</v>
      </c>
    </row>
    <row r="18" spans="1:9">
      <c r="A18" s="199"/>
      <c r="B18" s="70"/>
      <c r="C18" s="40" t="e">
        <f t="shared" si="0"/>
        <v>#REF!</v>
      </c>
      <c r="D18" s="49" t="e">
        <f t="shared" si="1"/>
        <v>#REF!</v>
      </c>
      <c r="E18" s="77"/>
      <c r="F18" s="77"/>
      <c r="G18" s="49"/>
      <c r="H18" s="11" t="e">
        <f t="shared" si="2"/>
        <v>#REF!</v>
      </c>
      <c r="I18" s="50" t="e">
        <f t="shared" si="3"/>
        <v>#REF!</v>
      </c>
    </row>
    <row r="19" spans="1:9">
      <c r="A19" s="199"/>
      <c r="B19" s="70"/>
      <c r="C19" s="40" t="e">
        <f t="shared" si="0"/>
        <v>#REF!</v>
      </c>
      <c r="D19" s="49" t="e">
        <f t="shared" si="1"/>
        <v>#REF!</v>
      </c>
      <c r="E19" s="77"/>
      <c r="F19" s="77"/>
      <c r="G19" s="49"/>
      <c r="H19" s="11" t="e">
        <f t="shared" si="2"/>
        <v>#REF!</v>
      </c>
      <c r="I19" s="50" t="e">
        <f t="shared" si="3"/>
        <v>#REF!</v>
      </c>
    </row>
    <row r="20" spans="1:9">
      <c r="A20" s="199"/>
      <c r="B20" s="70"/>
      <c r="C20" s="40" t="e">
        <f t="shared" si="0"/>
        <v>#REF!</v>
      </c>
      <c r="D20" s="49" t="e">
        <f t="shared" si="1"/>
        <v>#REF!</v>
      </c>
      <c r="E20" s="77"/>
      <c r="F20" s="77"/>
      <c r="G20" s="49"/>
      <c r="H20" s="11" t="e">
        <f t="shared" si="2"/>
        <v>#REF!</v>
      </c>
      <c r="I20" s="50" t="e">
        <f t="shared" si="3"/>
        <v>#REF!</v>
      </c>
    </row>
    <row r="21" spans="1:9">
      <c r="A21" s="199"/>
      <c r="B21" s="70"/>
      <c r="C21" s="40" t="e">
        <f t="shared" si="0"/>
        <v>#REF!</v>
      </c>
      <c r="D21" s="49" t="e">
        <f t="shared" si="1"/>
        <v>#REF!</v>
      </c>
      <c r="E21" s="77"/>
      <c r="F21" s="77"/>
      <c r="G21" s="49"/>
      <c r="H21" s="11" t="e">
        <f t="shared" si="2"/>
        <v>#REF!</v>
      </c>
      <c r="I21" s="50" t="e">
        <f t="shared" si="3"/>
        <v>#REF!</v>
      </c>
    </row>
    <row r="22" spans="1:9">
      <c r="A22" s="199"/>
      <c r="B22" s="70"/>
      <c r="C22" s="40" t="e">
        <f t="shared" si="0"/>
        <v>#REF!</v>
      </c>
      <c r="D22" s="49" t="e">
        <f t="shared" si="1"/>
        <v>#REF!</v>
      </c>
      <c r="E22" s="77"/>
      <c r="F22" s="77"/>
      <c r="G22" s="49"/>
      <c r="H22" s="11" t="e">
        <f t="shared" si="2"/>
        <v>#REF!</v>
      </c>
      <c r="I22" s="50" t="e">
        <f t="shared" si="3"/>
        <v>#REF!</v>
      </c>
    </row>
    <row r="23" spans="1:9" ht="16.5" thickBot="1">
      <c r="A23" s="168"/>
      <c r="B23" s="28"/>
      <c r="C23" s="51" t="s">
        <v>95</v>
      </c>
      <c r="D23" s="52"/>
      <c r="E23" s="79"/>
      <c r="F23" s="79"/>
      <c r="G23" s="52"/>
      <c r="H23" s="30"/>
      <c r="I23" s="54" t="e">
        <f>ROUND(SUM(I13:I22),2)</f>
        <v>#REF!</v>
      </c>
    </row>
    <row r="24" spans="1:9" ht="16.5" thickTop="1">
      <c r="A24" s="199">
        <v>2</v>
      </c>
      <c r="B24" s="72" t="s">
        <v>25</v>
      </c>
      <c r="C24" s="48" t="s">
        <v>29</v>
      </c>
      <c r="E24" s="77"/>
      <c r="F24" s="77"/>
      <c r="H24" s="11"/>
      <c r="I24" s="50"/>
    </row>
    <row r="25" spans="1:9">
      <c r="A25" s="199"/>
      <c r="B25" s="4">
        <v>100</v>
      </c>
      <c r="C25" s="40" t="e">
        <f t="shared" ref="C25:C35" si="4">IF(ISNA(VLOOKUP(B25,CU_MANO_DE_OBRA,2,FALSE)),0,VLOOKUP(B25,CU_MANO_DE_OBRA,2,FALSE))</f>
        <v>#REF!</v>
      </c>
      <c r="D25" s="49" t="e">
        <f t="shared" ref="D25:D35" si="5">IF(ISNA(VLOOKUP(B25,CU_MANO_DE_OBRA,3,FALSE)),0,VLOOKUP(B25,CU_MANO_DE_OBRA,3,FALSE))</f>
        <v>#REF!</v>
      </c>
      <c r="E25" s="123">
        <v>1</v>
      </c>
      <c r="F25" s="98"/>
      <c r="G25" s="49"/>
      <c r="H25" s="11" t="e">
        <f t="shared" ref="H25:H35" si="6">IF(ISNA(VLOOKUP(B25,CU_MANO_DE_OBRA,3,FALSE)),0,VLOOKUP(B25,CU_MANO_DE_OBRA,4,FALSE))</f>
        <v>#REF!</v>
      </c>
      <c r="I25" s="50" t="e">
        <f t="shared" ref="I25:I35" si="7">ROUND(H25*E25,2)</f>
        <v>#REF!</v>
      </c>
    </row>
    <row r="26" spans="1:9">
      <c r="A26" s="199"/>
      <c r="C26" s="40" t="e">
        <f t="shared" si="4"/>
        <v>#REF!</v>
      </c>
      <c r="D26" s="49" t="e">
        <f t="shared" si="5"/>
        <v>#REF!</v>
      </c>
      <c r="E26" s="123"/>
      <c r="F26" s="98"/>
      <c r="G26" s="49"/>
      <c r="H26" s="37" t="e">
        <f t="shared" si="6"/>
        <v>#REF!</v>
      </c>
      <c r="I26" s="50" t="e">
        <f t="shared" si="7"/>
        <v>#REF!</v>
      </c>
    </row>
    <row r="27" spans="1:9">
      <c r="A27" s="199"/>
      <c r="C27" s="40" t="e">
        <f t="shared" si="4"/>
        <v>#REF!</v>
      </c>
      <c r="D27" s="49" t="e">
        <f t="shared" si="5"/>
        <v>#REF!</v>
      </c>
      <c r="E27" s="77"/>
      <c r="F27" s="77"/>
      <c r="G27" s="49"/>
      <c r="H27" s="37" t="e">
        <f t="shared" si="6"/>
        <v>#REF!</v>
      </c>
      <c r="I27" s="50" t="e">
        <f t="shared" si="7"/>
        <v>#REF!</v>
      </c>
    </row>
    <row r="28" spans="1:9">
      <c r="A28" s="199"/>
      <c r="C28" s="40" t="e">
        <f t="shared" si="4"/>
        <v>#REF!</v>
      </c>
      <c r="D28" s="49" t="e">
        <f t="shared" si="5"/>
        <v>#REF!</v>
      </c>
      <c r="E28" s="77"/>
      <c r="F28" s="77"/>
      <c r="G28" s="49"/>
      <c r="H28" s="37" t="e">
        <f t="shared" si="6"/>
        <v>#REF!</v>
      </c>
      <c r="I28" s="50" t="e">
        <f t="shared" si="7"/>
        <v>#REF!</v>
      </c>
    </row>
    <row r="29" spans="1:9">
      <c r="A29" s="199"/>
      <c r="C29" s="40" t="e">
        <f t="shared" si="4"/>
        <v>#REF!</v>
      </c>
      <c r="D29" s="49" t="e">
        <f t="shared" si="5"/>
        <v>#REF!</v>
      </c>
      <c r="E29" s="77"/>
      <c r="F29" s="77"/>
      <c r="G29" s="49"/>
      <c r="H29" s="37" t="e">
        <f t="shared" si="6"/>
        <v>#REF!</v>
      </c>
      <c r="I29" s="50" t="e">
        <f t="shared" si="7"/>
        <v>#REF!</v>
      </c>
    </row>
    <row r="30" spans="1:9">
      <c r="A30" s="199"/>
      <c r="C30" s="40" t="e">
        <f t="shared" si="4"/>
        <v>#REF!</v>
      </c>
      <c r="D30" s="49" t="e">
        <f t="shared" si="5"/>
        <v>#REF!</v>
      </c>
      <c r="E30" s="77"/>
      <c r="F30" s="77"/>
      <c r="G30" s="49"/>
      <c r="H30" s="37" t="e">
        <f t="shared" si="6"/>
        <v>#REF!</v>
      </c>
      <c r="I30" s="50" t="e">
        <f t="shared" si="7"/>
        <v>#REF!</v>
      </c>
    </row>
    <row r="31" spans="1:9">
      <c r="A31" s="199"/>
      <c r="C31" s="40" t="e">
        <f t="shared" si="4"/>
        <v>#REF!</v>
      </c>
      <c r="D31" s="49" t="e">
        <f t="shared" si="5"/>
        <v>#REF!</v>
      </c>
      <c r="E31" s="77"/>
      <c r="F31" s="77"/>
      <c r="G31" s="49"/>
      <c r="H31" s="37" t="e">
        <f t="shared" si="6"/>
        <v>#REF!</v>
      </c>
      <c r="I31" s="50" t="e">
        <f t="shared" si="7"/>
        <v>#REF!</v>
      </c>
    </row>
    <row r="32" spans="1:9">
      <c r="A32" s="199"/>
      <c r="C32" s="40" t="e">
        <f t="shared" si="4"/>
        <v>#REF!</v>
      </c>
      <c r="D32" s="49" t="e">
        <f t="shared" si="5"/>
        <v>#REF!</v>
      </c>
      <c r="E32" s="77"/>
      <c r="F32" s="77"/>
      <c r="G32" s="49"/>
      <c r="H32" s="37" t="e">
        <f t="shared" si="6"/>
        <v>#REF!</v>
      </c>
      <c r="I32" s="50" t="e">
        <f t="shared" si="7"/>
        <v>#REF!</v>
      </c>
    </row>
    <row r="33" spans="1:29">
      <c r="A33" s="199"/>
      <c r="C33" s="40" t="e">
        <f t="shared" si="4"/>
        <v>#REF!</v>
      </c>
      <c r="D33" s="49" t="e">
        <f t="shared" si="5"/>
        <v>#REF!</v>
      </c>
      <c r="E33" s="77"/>
      <c r="F33" s="77"/>
      <c r="G33" s="49"/>
      <c r="H33" s="37" t="e">
        <f t="shared" si="6"/>
        <v>#REF!</v>
      </c>
      <c r="I33" s="50" t="e">
        <f t="shared" si="7"/>
        <v>#REF!</v>
      </c>
    </row>
    <row r="34" spans="1:29" ht="16.5" thickBot="1">
      <c r="A34" s="199"/>
      <c r="C34" s="51" t="s">
        <v>30</v>
      </c>
      <c r="D34" s="52"/>
      <c r="E34" s="79"/>
      <c r="F34" s="79"/>
      <c r="G34" s="52"/>
      <c r="H34" s="30"/>
      <c r="I34" s="54" t="e">
        <f>ROUND(SUM(I25:I33),2)</f>
        <v>#REF!</v>
      </c>
    </row>
    <row r="35" spans="1:29" ht="16.5" thickTop="1">
      <c r="A35" s="199"/>
      <c r="B35" s="26">
        <v>300</v>
      </c>
      <c r="C35" s="55" t="e">
        <f t="shared" si="4"/>
        <v>#REF!</v>
      </c>
      <c r="D35" s="149" t="e">
        <f t="shared" si="5"/>
        <v>#REF!</v>
      </c>
      <c r="E35" s="152" t="e">
        <f>I34</f>
        <v>#REF!</v>
      </c>
      <c r="F35" s="78"/>
      <c r="G35" s="56"/>
      <c r="H35" s="76" t="e">
        <f t="shared" si="6"/>
        <v>#REF!</v>
      </c>
      <c r="I35" s="50" t="e">
        <f t="shared" si="7"/>
        <v>#REF!</v>
      </c>
    </row>
    <row r="36" spans="1:29" ht="16.5" thickBot="1">
      <c r="A36" s="168"/>
      <c r="B36" s="28"/>
      <c r="C36" s="51" t="s">
        <v>96</v>
      </c>
      <c r="D36" s="52"/>
      <c r="E36" s="79"/>
      <c r="F36" s="79"/>
      <c r="G36" s="52"/>
      <c r="H36" s="30"/>
      <c r="I36" s="54" t="e">
        <f>ROUND(SUM(I34:I35),2)</f>
        <v>#REF!</v>
      </c>
    </row>
    <row r="37" spans="1:29" ht="16.5" thickTop="1">
      <c r="A37" s="199">
        <v>3</v>
      </c>
      <c r="B37" s="72" t="s">
        <v>25</v>
      </c>
      <c r="C37" s="48" t="s">
        <v>98</v>
      </c>
      <c r="E37" s="77"/>
      <c r="F37" s="77"/>
      <c r="H37" s="11"/>
      <c r="I37" s="50"/>
    </row>
    <row r="38" spans="1:29">
      <c r="A38" s="199"/>
      <c r="C38" s="40" t="e">
        <f t="shared" ref="C38:C46" si="8">IF(ISNA(VLOOKUP(B38,CU_EQUIPO,2,FALSE)),0,VLOOKUP(B38,CU_EQUIPO,2,FALSE))</f>
        <v>#REF!</v>
      </c>
      <c r="D38" s="49" t="e">
        <f t="shared" ref="D38:D46" si="9">IF(ISNA(VLOOKUP(B38,CU_EQUIPO,3,FALSE)),0,VLOOKUP(B38,CU_EQUIPO,3,FALSE))</f>
        <v>#REF!</v>
      </c>
      <c r="E38" s="123"/>
      <c r="F38" s="123"/>
      <c r="G38" s="49"/>
      <c r="H38" s="11" t="e">
        <f t="shared" ref="H38:H46" si="10">IF(ISNA(VLOOKUP(B38,CU_EQUIPO,3,FALSE)),0,VLOOKUP(B38,CU_EQUIPO,4,FALSE))</f>
        <v>#REF!</v>
      </c>
      <c r="I38" s="50" t="e">
        <f>ROUND(H38*E38,2)</f>
        <v>#REF!</v>
      </c>
    </row>
    <row r="39" spans="1:29">
      <c r="A39" s="200"/>
      <c r="C39" s="40" t="e">
        <f t="shared" si="8"/>
        <v>#REF!</v>
      </c>
      <c r="D39" s="49" t="e">
        <f>IF(ISNA(VLOOKUP(B39,CU_EQUIPO,3,FALSE)),0,VLOOKUP(B39,CU_EQUIPO,3,FALSE))</f>
        <v>#REF!</v>
      </c>
      <c r="E39" s="123"/>
      <c r="F39" s="123"/>
      <c r="G39" s="49"/>
      <c r="H39" s="11" t="e">
        <f>IF(ISNA(VLOOKUP(B39,CU_EQUIPO,3,FALSE)),0,VLOOKUP(B39,CU_EQUIPO,4,FALSE))</f>
        <v>#REF!</v>
      </c>
      <c r="I39" s="50" t="e">
        <f>ROUND(H39*E39,2)</f>
        <v>#REF!</v>
      </c>
    </row>
    <row r="40" spans="1:29">
      <c r="A40" s="200"/>
      <c r="C40" s="40" t="e">
        <f t="shared" si="8"/>
        <v>#REF!</v>
      </c>
      <c r="D40" s="49" t="e">
        <f t="shared" si="9"/>
        <v>#REF!</v>
      </c>
      <c r="E40" s="123"/>
      <c r="F40" s="123"/>
      <c r="G40" s="49"/>
      <c r="H40" s="19" t="e">
        <f t="shared" si="10"/>
        <v>#REF!</v>
      </c>
      <c r="I40" s="50" t="e">
        <f>ROUND(H40*E40,2)</f>
        <v>#REF!</v>
      </c>
      <c r="AC40" s="4" t="s">
        <v>148</v>
      </c>
    </row>
    <row r="41" spans="1:29">
      <c r="A41" s="200"/>
      <c r="C41" s="40" t="e">
        <f t="shared" si="8"/>
        <v>#REF!</v>
      </c>
      <c r="D41" s="49" t="e">
        <f t="shared" si="9"/>
        <v>#REF!</v>
      </c>
      <c r="E41" s="123"/>
      <c r="F41" s="123"/>
      <c r="G41" s="49"/>
      <c r="H41" s="11" t="e">
        <f t="shared" si="10"/>
        <v>#REF!</v>
      </c>
      <c r="I41" s="50" t="e">
        <f>ROUND(H41*E41,2)</f>
        <v>#REF!</v>
      </c>
    </row>
    <row r="42" spans="1:29">
      <c r="A42" s="200"/>
      <c r="C42" s="40" t="e">
        <f t="shared" si="8"/>
        <v>#REF!</v>
      </c>
      <c r="D42" s="49" t="e">
        <f t="shared" si="9"/>
        <v>#REF!</v>
      </c>
      <c r="E42" s="123"/>
      <c r="F42" s="77"/>
      <c r="G42" s="49"/>
      <c r="H42" s="11" t="e">
        <f t="shared" si="10"/>
        <v>#REF!</v>
      </c>
      <c r="I42" s="50" t="e">
        <f>ROUND(H42*E42,2)</f>
        <v>#REF!</v>
      </c>
    </row>
    <row r="43" spans="1:29">
      <c r="A43" s="200"/>
      <c r="D43" s="49"/>
      <c r="E43" s="77"/>
      <c r="F43" s="77"/>
      <c r="G43" s="49"/>
      <c r="H43" s="11"/>
      <c r="I43" s="50"/>
    </row>
    <row r="44" spans="1:29">
      <c r="A44" s="200"/>
      <c r="D44" s="49"/>
      <c r="E44" s="77"/>
      <c r="F44" s="77"/>
      <c r="G44" s="49"/>
      <c r="H44" s="11"/>
      <c r="I44" s="50"/>
      <c r="J44" s="98"/>
    </row>
    <row r="45" spans="1:29">
      <c r="A45" s="200"/>
      <c r="C45" s="40" t="e">
        <f t="shared" si="8"/>
        <v>#REF!</v>
      </c>
      <c r="D45" s="49" t="e">
        <f t="shared" si="9"/>
        <v>#REF!</v>
      </c>
      <c r="E45" s="77"/>
      <c r="F45" s="77"/>
      <c r="G45" s="49"/>
      <c r="H45" s="11" t="e">
        <f t="shared" si="10"/>
        <v>#REF!</v>
      </c>
      <c r="I45" s="50" t="e">
        <f>ROUND(H45*E45,2)</f>
        <v>#REF!</v>
      </c>
    </row>
    <row r="46" spans="1:29">
      <c r="A46" s="200"/>
      <c r="B46" s="26"/>
      <c r="C46" s="55" t="e">
        <f t="shared" si="8"/>
        <v>#REF!</v>
      </c>
      <c r="D46" s="149" t="e">
        <f t="shared" si="9"/>
        <v>#REF!</v>
      </c>
      <c r="E46" s="152" t="e">
        <f>E35</f>
        <v>#REF!</v>
      </c>
      <c r="F46" s="78"/>
      <c r="G46" s="56"/>
      <c r="H46" s="76" t="e">
        <f t="shared" si="10"/>
        <v>#REF!</v>
      </c>
      <c r="I46" s="50" t="e">
        <f>ROUND(H46*E46,2)</f>
        <v>#REF!</v>
      </c>
    </row>
    <row r="47" spans="1:29" ht="16.5" thickBot="1">
      <c r="A47" s="169"/>
      <c r="B47" s="28"/>
      <c r="C47" s="51" t="s">
        <v>102</v>
      </c>
      <c r="D47" s="52"/>
      <c r="E47" s="52"/>
      <c r="F47" s="52"/>
      <c r="G47" s="52"/>
      <c r="H47" s="53"/>
      <c r="I47" s="54" t="e">
        <f>ROUND(SUM(I38:I46),2)</f>
        <v>#REF!</v>
      </c>
    </row>
    <row r="48" spans="1:29" ht="16.5" thickTop="1">
      <c r="A48" s="200"/>
      <c r="C48" s="6"/>
      <c r="D48" s="4"/>
      <c r="E48" s="4"/>
      <c r="F48" s="4"/>
      <c r="G48" s="4"/>
      <c r="H48" s="11"/>
      <c r="I48" s="14"/>
    </row>
    <row r="49" spans="1:11">
      <c r="A49" s="200"/>
      <c r="C49" s="17" t="s">
        <v>55</v>
      </c>
      <c r="D49" s="4"/>
      <c r="E49" s="4"/>
      <c r="F49" s="4"/>
      <c r="G49" s="4"/>
      <c r="H49" s="11"/>
      <c r="I49" s="15" t="e">
        <f>I23+I36+I47</f>
        <v>#REF!</v>
      </c>
    </row>
    <row r="50" spans="1:11" ht="16.5" thickBot="1">
      <c r="A50" s="170"/>
      <c r="B50" s="103"/>
      <c r="C50" s="104"/>
      <c r="D50" s="103"/>
      <c r="E50" s="103"/>
      <c r="F50" s="103"/>
      <c r="G50" s="103"/>
      <c r="H50" s="105"/>
      <c r="I50" s="107"/>
    </row>
    <row r="51" spans="1:11" ht="18" customHeight="1" thickTop="1">
      <c r="A51" s="199">
        <v>4</v>
      </c>
      <c r="C51" s="17" t="s">
        <v>50</v>
      </c>
      <c r="D51" s="4"/>
      <c r="E51" s="4"/>
      <c r="F51" s="4"/>
      <c r="G51" s="4"/>
      <c r="H51" s="11"/>
      <c r="I51" s="14"/>
    </row>
    <row r="52" spans="1:11">
      <c r="A52" s="200"/>
      <c r="C52" s="6"/>
      <c r="D52" s="4"/>
      <c r="E52" s="4"/>
      <c r="F52" s="4"/>
      <c r="G52" s="4"/>
      <c r="H52" s="11"/>
      <c r="I52" s="14"/>
    </row>
    <row r="53" spans="1:11">
      <c r="A53" s="200"/>
      <c r="C53" s="6" t="s">
        <v>99</v>
      </c>
      <c r="D53" s="4"/>
      <c r="E53" s="4"/>
      <c r="F53" s="4"/>
      <c r="G53" s="4"/>
      <c r="H53" s="147">
        <f>Presupuesto!E88</f>
        <v>0.13</v>
      </c>
      <c r="I53" s="14" t="e">
        <f>ROUND((Presupuesto!E88)*I49,2)</f>
        <v>#REF!</v>
      </c>
    </row>
    <row r="54" spans="1:11" hidden="1">
      <c r="A54" s="200"/>
      <c r="C54" s="6" t="s">
        <v>100</v>
      </c>
      <c r="D54" s="4"/>
      <c r="E54" s="4"/>
      <c r="F54" s="4"/>
      <c r="G54" s="4"/>
      <c r="H54" s="147">
        <f>Presupuesto!E89</f>
        <v>0</v>
      </c>
      <c r="I54" s="14" t="e">
        <f>ROUND((Presupuesto!E89)*I49,2)</f>
        <v>#REF!</v>
      </c>
    </row>
    <row r="55" spans="1:11" ht="16.5" thickBot="1">
      <c r="A55" s="28"/>
      <c r="B55" s="28"/>
      <c r="C55" s="29" t="s">
        <v>53</v>
      </c>
      <c r="D55" s="28"/>
      <c r="E55" s="28"/>
      <c r="F55" s="28"/>
      <c r="G55" s="28"/>
      <c r="H55" s="148"/>
      <c r="I55" s="108" t="e">
        <f>SUM(I53:I54)</f>
        <v>#REF!</v>
      </c>
    </row>
    <row r="56" spans="1:11" ht="16.5" thickTop="1">
      <c r="A56" s="199">
        <v>5</v>
      </c>
      <c r="C56" s="17" t="s">
        <v>16</v>
      </c>
      <c r="D56" s="4"/>
      <c r="E56" s="4"/>
      <c r="F56" s="4"/>
      <c r="G56" s="4"/>
      <c r="H56" s="147"/>
      <c r="I56" s="14"/>
    </row>
    <row r="57" spans="1:11">
      <c r="C57" s="6"/>
      <c r="D57" s="4"/>
      <c r="E57" s="4"/>
      <c r="F57" s="4"/>
      <c r="G57" s="4"/>
      <c r="H57" s="147"/>
      <c r="I57" s="14"/>
    </row>
    <row r="58" spans="1:11">
      <c r="C58" s="6" t="s">
        <v>101</v>
      </c>
      <c r="D58" s="4"/>
      <c r="E58" s="4"/>
      <c r="F58" s="4"/>
      <c r="G58" s="4"/>
      <c r="H58" s="147">
        <f>Presupuesto!E90</f>
        <v>7.0000000000000007E-2</v>
      </c>
      <c r="I58" s="14" t="e">
        <f>ROUND((Presupuesto!E90)*(I49+I55),2)</f>
        <v>#REF!</v>
      </c>
    </row>
    <row r="59" spans="1:11" ht="16.5" thickBot="1">
      <c r="A59" s="28"/>
      <c r="B59" s="28"/>
      <c r="C59" s="29" t="s">
        <v>54</v>
      </c>
      <c r="D59" s="28"/>
      <c r="E59" s="28"/>
      <c r="F59" s="28"/>
      <c r="G59" s="28"/>
      <c r="H59" s="30"/>
      <c r="I59" s="108" t="e">
        <f>SUM(I58)</f>
        <v>#REF!</v>
      </c>
    </row>
    <row r="60" spans="1:11" ht="16.5" hidden="1" thickTop="1">
      <c r="C60" s="6"/>
      <c r="D60" s="4"/>
      <c r="E60" s="4"/>
      <c r="F60" s="4"/>
      <c r="G60" s="4"/>
      <c r="H60" s="11"/>
      <c r="I60" s="14"/>
    </row>
    <row r="61" spans="1:11" ht="16.5" hidden="1" thickTop="1">
      <c r="A61" s="8"/>
      <c r="B61" s="8"/>
      <c r="C61" s="109" t="s">
        <v>56</v>
      </c>
      <c r="D61" s="8"/>
      <c r="E61" s="8"/>
      <c r="F61" s="8"/>
      <c r="G61" s="8"/>
      <c r="H61" s="110"/>
      <c r="I61" s="112" t="e">
        <f>+I55+I59</f>
        <v>#REF!</v>
      </c>
    </row>
    <row r="62" spans="1:11" ht="17.25" hidden="1" thickTop="1" thickBot="1">
      <c r="A62" s="103"/>
      <c r="B62" s="103"/>
      <c r="C62" s="104"/>
      <c r="D62" s="103"/>
      <c r="E62" s="103"/>
      <c r="F62" s="103"/>
      <c r="G62" s="103"/>
      <c r="H62" s="105"/>
      <c r="I62" s="113"/>
    </row>
    <row r="63" spans="1:11" ht="16.5" thickTop="1">
      <c r="A63" s="8"/>
      <c r="B63" s="8"/>
      <c r="C63" s="32"/>
      <c r="D63" s="8"/>
      <c r="E63" s="8"/>
      <c r="F63" s="8"/>
      <c r="G63" s="8"/>
      <c r="H63" s="110"/>
      <c r="I63" s="114"/>
    </row>
    <row r="64" spans="1:11">
      <c r="C64" s="17" t="s">
        <v>57</v>
      </c>
      <c r="D64" s="4"/>
      <c r="E64" s="4"/>
      <c r="F64" s="4"/>
      <c r="G64" s="4"/>
      <c r="H64" s="11"/>
      <c r="I64" s="57" t="e">
        <f>TRUNC(I49+I61,2)</f>
        <v>#REF!</v>
      </c>
      <c r="K64" s="155"/>
    </row>
    <row r="65" spans="1:9" ht="16.5" thickBot="1">
      <c r="A65" s="5"/>
      <c r="B65" s="5"/>
      <c r="C65" s="33"/>
      <c r="D65" s="5"/>
      <c r="E65" s="5"/>
      <c r="F65" s="5"/>
      <c r="G65" s="5"/>
      <c r="H65" s="20"/>
      <c r="I65" s="35"/>
    </row>
  </sheetData>
  <mergeCells count="8">
    <mergeCell ref="A1:I2"/>
    <mergeCell ref="A3:I3"/>
    <mergeCell ref="C4:H4"/>
    <mergeCell ref="A10:A11"/>
    <mergeCell ref="C10:C11"/>
    <mergeCell ref="D10:D11"/>
    <mergeCell ref="E10:E11"/>
    <mergeCell ref="I10:I11"/>
  </mergeCells>
  <printOptions horizontalCentered="1" verticalCentered="1"/>
  <pageMargins left="0.91" right="0.75" top="0.8" bottom="1" header="0" footer="0"/>
  <pageSetup scale="6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18</vt:i4>
      </vt:variant>
    </vt:vector>
  </HeadingPairs>
  <TitlesOfParts>
    <vt:vector size="38" baseType="lpstr">
      <vt:lpstr>anexo I</vt:lpstr>
      <vt:lpstr>Presupuesto</vt:lpstr>
      <vt:lpstr>RESUMEN Costos directo</vt:lpstr>
      <vt:lpstr>PROYECTOS</vt:lpstr>
      <vt:lpstr>bordillo de 15x5</vt:lpstr>
      <vt:lpstr>alcantarilla TCR 42</vt:lpstr>
      <vt:lpstr>Acarreo TCR 42</vt:lpstr>
      <vt:lpstr>Cortado de concreto</vt:lpstr>
      <vt:lpstr>siembra de vetiver</vt:lpstr>
      <vt:lpstr>Señales </vt:lpstr>
      <vt:lpstr>pintura de bordillo</vt:lpstr>
      <vt:lpstr>rotulo</vt:lpstr>
      <vt:lpstr>señal informativa</vt:lpstr>
      <vt:lpstr>DESGLOSE INSUMOS</vt:lpstr>
      <vt:lpstr>Mortero 1-3</vt:lpstr>
      <vt:lpstr>concreto de 210 kg-cm</vt:lpstr>
      <vt:lpstr>Hoja1</vt:lpstr>
      <vt:lpstr>Hoja2</vt:lpstr>
      <vt:lpstr>bordillo de 15x15 </vt:lpstr>
      <vt:lpstr>Movilizacion de Equipo</vt:lpstr>
      <vt:lpstr>'Acarreo TCR 42'!Área_de_impresión</vt:lpstr>
      <vt:lpstr>'alcantarilla TCR 42'!Área_de_impresión</vt:lpstr>
      <vt:lpstr>'anexo I'!Área_de_impresión</vt:lpstr>
      <vt:lpstr>'bordillo de 15x15 '!Área_de_impresión</vt:lpstr>
      <vt:lpstr>'bordillo de 15x5'!Área_de_impresión</vt:lpstr>
      <vt:lpstr>'concreto de 210 kg-cm'!Área_de_impresión</vt:lpstr>
      <vt:lpstr>'Cortado de concreto'!Área_de_impresión</vt:lpstr>
      <vt:lpstr>'DESGLOSE INSUMOS'!Área_de_impresión</vt:lpstr>
      <vt:lpstr>'Mortero 1-3'!Área_de_impresión</vt:lpstr>
      <vt:lpstr>'Movilizacion de Equipo'!Área_de_impresión</vt:lpstr>
      <vt:lpstr>'pintura de bordillo'!Área_de_impresión</vt:lpstr>
      <vt:lpstr>Presupuesto!Área_de_impresión</vt:lpstr>
      <vt:lpstr>rotulo!Área_de_impresión</vt:lpstr>
      <vt:lpstr>'señal informativa'!Área_de_impresión</vt:lpstr>
      <vt:lpstr>'Señales '!Área_de_impresión</vt:lpstr>
      <vt:lpstr>'siembra de vetiver'!Área_de_impresión</vt:lpstr>
      <vt:lpstr>PRESUPUESTOS</vt:lpstr>
      <vt:lpstr>'RESUMEN Costos directo'!RESUMEN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Fichas Fondo Vial 2009-20010</dc:title>
  <dc:creator>Ing. Victor Diaz Hercules</dc:creator>
  <cp:keywords>Fichas, Fondo Vial</cp:keywords>
  <cp:lastModifiedBy>LEGAL UPN</cp:lastModifiedBy>
  <cp:lastPrinted>2016-11-01T21:28:18Z</cp:lastPrinted>
  <dcterms:created xsi:type="dcterms:W3CDTF">1998-03-16T22:25:55Z</dcterms:created>
  <dcterms:modified xsi:type="dcterms:W3CDTF">2017-03-28T14:20:26Z</dcterms:modified>
</cp:coreProperties>
</file>